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55" windowHeight="9210" tabRatio="601" activeTab="0"/>
  </bookViews>
  <sheets>
    <sheet name="PNS an 2018 final" sheetId="1" r:id="rId1"/>
  </sheets>
  <definedNames/>
  <calcPr fullCalcOnLoad="1"/>
</workbook>
</file>

<file path=xl/sharedStrings.xml><?xml version="1.0" encoding="utf-8"?>
<sst xmlns="http://schemas.openxmlformats.org/spreadsheetml/2006/main" count="155" uniqueCount="52">
  <si>
    <t>Nr. Crt</t>
  </si>
  <si>
    <t>Nr. Contr</t>
  </si>
  <si>
    <t>CAS HUNEDOARA</t>
  </si>
  <si>
    <t>ONCOLOGIE</t>
  </si>
  <si>
    <t>TOTAL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</si>
  <si>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</si>
  <si>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</si>
  <si>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</si>
  <si>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</si>
  <si>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</si>
  <si>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</si>
  <si>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</si>
  <si>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</si>
  <si>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</si>
  <si>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</si>
  <si>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</si>
  <si>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</si>
  <si>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TRIM I</t>
  </si>
  <si>
    <t>TRIM II</t>
  </si>
  <si>
    <t>TRIM III</t>
  </si>
  <si>
    <t>TRIM IV</t>
  </si>
  <si>
    <t>NUME SPITAL</t>
  </si>
  <si>
    <t>HEMOFILIE SI TALASEMIE</t>
  </si>
  <si>
    <t>HEMOFILIE</t>
  </si>
  <si>
    <t>TALASEMIE</t>
  </si>
  <si>
    <t>BOLIENDOCRINE</t>
  </si>
  <si>
    <t>OSTEOPOROZA</t>
  </si>
  <si>
    <t>GUSA</t>
  </si>
  <si>
    <t>B.R. SIDPU</t>
  </si>
  <si>
    <t>ORTOPEDIE</t>
  </si>
  <si>
    <t>RADIOTERAPIE</t>
  </si>
  <si>
    <t>HEMOFILIE - profilaxie intermitenta</t>
  </si>
  <si>
    <t xml:space="preserve">medicamente antidiabetice de tipul insulinelor in spital </t>
  </si>
  <si>
    <t xml:space="preserve">seturi consumabile pentru pompe de insulina   </t>
  </si>
  <si>
    <t>DIABET ZAHARAT</t>
  </si>
  <si>
    <t>MEDICAMENTE</t>
  </si>
  <si>
    <t>COST - VOLUM</t>
  </si>
  <si>
    <t>TOTAL 2018</t>
  </si>
  <si>
    <t>Spitalul Municipal "Dr. Al. Simionescu" Hunedoara</t>
  </si>
  <si>
    <t>Spitalul de Urgenta Petrosani</t>
  </si>
  <si>
    <t>Serviciul Evaluare - Contractare</t>
  </si>
  <si>
    <t>Spitalul Judetean de Urgenta Deva</t>
  </si>
  <si>
    <t>Spitalul Municipal Orastie</t>
  </si>
  <si>
    <t>Spitalul Municipal Lupeni</t>
  </si>
  <si>
    <t>2.13-1</t>
  </si>
  <si>
    <t>2.1-1</t>
  </si>
  <si>
    <t>2.14-1</t>
  </si>
  <si>
    <t>2.10-1</t>
  </si>
  <si>
    <t>2.4-1</t>
  </si>
  <si>
    <t>Spitalul General CF Simeria</t>
  </si>
  <si>
    <t>2.15-1</t>
  </si>
  <si>
    <t>CONTRACTARE SPITALE PNS - an 2018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</si>
</sst>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_ ;[Red]\-#,##0.00\ 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4" fontId="0" fillId="0" borderId="1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1" xfId="57" applyFont="1" applyFill="1" applyBorder="1" applyAlignment="1">
      <alignment horizontal="right"/>
      <protection/>
    </xf>
    <xf numFmtId="0" fontId="0" fillId="0" borderId="12" xfId="57" applyFont="1" applyFill="1" applyBorder="1" applyAlignment="1">
      <alignment horizontal="right"/>
      <protection/>
    </xf>
    <xf numFmtId="0" fontId="0" fillId="0" borderId="13" xfId="57" applyFont="1" applyFill="1" applyBorder="1" applyAlignment="1">
      <alignment horizontal="right"/>
      <protection/>
    </xf>
    <xf numFmtId="0" fontId="0" fillId="0" borderId="14" xfId="57" applyFont="1" applyFill="1" applyBorder="1" applyAlignment="1">
      <alignment horizontal="right"/>
      <protection/>
    </xf>
    <xf numFmtId="0" fontId="0" fillId="0" borderId="10" xfId="57" applyFont="1" applyFill="1" applyBorder="1" applyAlignment="1">
      <alignment horizontal="right"/>
      <protection/>
    </xf>
    <xf numFmtId="49" fontId="0" fillId="0" borderId="0" xfId="57" applyNumberFormat="1" applyFont="1" applyFill="1" applyBorder="1" applyAlignment="1">
      <alignment horizontal="right"/>
      <protection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49" fontId="0" fillId="0" borderId="15" xfId="57" applyNumberFormat="1" applyFont="1" applyFill="1" applyBorder="1" applyAlignment="1">
      <alignment horizontal="right"/>
      <protection/>
    </xf>
    <xf numFmtId="4" fontId="0" fillId="0" borderId="16" xfId="0" applyNumberFormat="1" applyFont="1" applyFill="1" applyBorder="1" applyAlignment="1">
      <alignment/>
    </xf>
    <xf numFmtId="4" fontId="21" fillId="0" borderId="17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184" fontId="0" fillId="0" borderId="14" xfId="0" applyNumberFormat="1" applyFont="1" applyFill="1" applyBorder="1" applyAlignment="1">
      <alignment/>
    </xf>
    <xf numFmtId="184" fontId="0" fillId="0" borderId="18" xfId="0" applyNumberFormat="1" applyFont="1" applyFill="1" applyBorder="1" applyAlignment="1">
      <alignment/>
    </xf>
    <xf numFmtId="184" fontId="0" fillId="0" borderId="10" xfId="0" applyNumberFormat="1" applyFont="1" applyFill="1" applyBorder="1" applyAlignment="1">
      <alignment/>
    </xf>
    <xf numFmtId="184" fontId="0" fillId="0" borderId="19" xfId="0" applyNumberFormat="1" applyFont="1" applyFill="1" applyBorder="1" applyAlignment="1">
      <alignment/>
    </xf>
    <xf numFmtId="184" fontId="21" fillId="0" borderId="10" xfId="0" applyNumberFormat="1" applyFont="1" applyFill="1" applyBorder="1" applyAlignment="1">
      <alignment/>
    </xf>
    <xf numFmtId="184" fontId="21" fillId="0" borderId="19" xfId="0" applyNumberFormat="1" applyFont="1" applyFill="1" applyBorder="1" applyAlignment="1">
      <alignment/>
    </xf>
    <xf numFmtId="184" fontId="0" fillId="0" borderId="16" xfId="0" applyNumberFormat="1" applyFont="1" applyFill="1" applyBorder="1" applyAlignment="1">
      <alignment/>
    </xf>
    <xf numFmtId="184" fontId="0" fillId="0" borderId="2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184" fontId="21" fillId="0" borderId="20" xfId="0" applyNumberFormat="1" applyFont="1" applyFill="1" applyBorder="1" applyAlignment="1">
      <alignment/>
    </xf>
    <xf numFmtId="184" fontId="21" fillId="0" borderId="21" xfId="0" applyNumberFormat="1" applyFont="1" applyFill="1" applyBorder="1" applyAlignment="1">
      <alignment/>
    </xf>
    <xf numFmtId="184" fontId="21" fillId="0" borderId="22" xfId="0" applyNumberFormat="1" applyFont="1" applyFill="1" applyBorder="1" applyAlignment="1">
      <alignment/>
    </xf>
    <xf numFmtId="184" fontId="21" fillId="0" borderId="0" xfId="0" applyNumberFormat="1" applyFont="1" applyFill="1" applyBorder="1" applyAlignment="1">
      <alignment/>
    </xf>
    <xf numFmtId="0" fontId="21" fillId="0" borderId="10" xfId="57" applyFont="1" applyFill="1" applyBorder="1" applyAlignment="1">
      <alignment horizontal="center" vertical="center" wrapText="1"/>
      <protection/>
    </xf>
    <xf numFmtId="0" fontId="0" fillId="0" borderId="23" xfId="57" applyFont="1" applyFill="1" applyBorder="1" applyAlignment="1">
      <alignment horizontal="right"/>
      <protection/>
    </xf>
    <xf numFmtId="49" fontId="0" fillId="0" borderId="24" xfId="57" applyNumberFormat="1" applyFont="1" applyFill="1" applyBorder="1" applyAlignment="1">
      <alignment horizontal="right"/>
      <protection/>
    </xf>
    <xf numFmtId="49" fontId="0" fillId="0" borderId="25" xfId="57" applyNumberFormat="1" applyFont="1" applyFill="1" applyBorder="1" applyAlignment="1">
      <alignment horizontal="right"/>
      <protection/>
    </xf>
    <xf numFmtId="0" fontId="0" fillId="0" borderId="26" xfId="57" applyFont="1" applyFill="1" applyBorder="1" applyAlignment="1">
      <alignment horizontal="right"/>
      <protection/>
    </xf>
    <xf numFmtId="49" fontId="0" fillId="0" borderId="27" xfId="57" applyNumberFormat="1" applyFont="1" applyFill="1" applyBorder="1" applyAlignment="1">
      <alignment horizontal="right"/>
      <protection/>
    </xf>
    <xf numFmtId="184" fontId="21" fillId="0" borderId="26" xfId="0" applyNumberFormat="1" applyFont="1" applyFill="1" applyBorder="1" applyAlignment="1">
      <alignment/>
    </xf>
    <xf numFmtId="184" fontId="21" fillId="0" borderId="28" xfId="0" applyNumberFormat="1" applyFont="1" applyFill="1" applyBorder="1" applyAlignment="1">
      <alignment/>
    </xf>
    <xf numFmtId="49" fontId="0" fillId="0" borderId="29" xfId="57" applyNumberFormat="1" applyFont="1" applyFill="1" applyBorder="1" applyAlignment="1">
      <alignment horizontal="right"/>
      <protection/>
    </xf>
    <xf numFmtId="49" fontId="0" fillId="0" borderId="13" xfId="57" applyNumberFormat="1" applyFont="1" applyFill="1" applyBorder="1" applyAlignment="1">
      <alignment horizontal="right"/>
      <protection/>
    </xf>
    <xf numFmtId="49" fontId="0" fillId="0" borderId="25" xfId="0" applyNumberFormat="1" applyFont="1" applyFill="1" applyBorder="1" applyAlignment="1">
      <alignment horizontal="right"/>
    </xf>
    <xf numFmtId="184" fontId="0" fillId="0" borderId="14" xfId="0" applyNumberFormat="1" applyFont="1" applyFill="1" applyBorder="1" applyAlignment="1">
      <alignment/>
    </xf>
    <xf numFmtId="0" fontId="21" fillId="0" borderId="10" xfId="57" applyFont="1" applyFill="1" applyBorder="1" applyAlignment="1">
      <alignment vertical="center" wrapText="1"/>
      <protection/>
    </xf>
    <xf numFmtId="0" fontId="21" fillId="0" borderId="30" xfId="57" applyFont="1" applyFill="1" applyBorder="1" applyAlignment="1">
      <alignment horizontal="center" vertical="center" wrapText="1"/>
      <protection/>
    </xf>
    <xf numFmtId="0" fontId="21" fillId="0" borderId="31" xfId="57" applyFont="1" applyFill="1" applyBorder="1" applyAlignment="1">
      <alignment horizontal="center" vertical="center" wrapText="1"/>
      <protection/>
    </xf>
    <xf numFmtId="0" fontId="21" fillId="0" borderId="32" xfId="57" applyFont="1" applyFill="1" applyBorder="1" applyAlignment="1">
      <alignment horizontal="center" vertical="center" wrapText="1"/>
      <protection/>
    </xf>
    <xf numFmtId="0" fontId="21" fillId="0" borderId="11" xfId="57" applyFont="1" applyFill="1" applyBorder="1" applyAlignment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 wrapText="1"/>
      <protection/>
    </xf>
    <xf numFmtId="0" fontId="21" fillId="0" borderId="16" xfId="57" applyFont="1" applyFill="1" applyBorder="1" applyAlignment="1">
      <alignment horizontal="center" vertical="center" wrapText="1"/>
      <protection/>
    </xf>
    <xf numFmtId="0" fontId="21" fillId="0" borderId="23" xfId="57" applyFont="1" applyFill="1" applyBorder="1" applyAlignment="1">
      <alignment horizontal="center" vertical="center" wrapText="1"/>
      <protection/>
    </xf>
    <xf numFmtId="0" fontId="21" fillId="0" borderId="33" xfId="57" applyFont="1" applyFill="1" applyBorder="1" applyAlignment="1">
      <alignment horizontal="center" vertical="center" wrapText="1"/>
      <protection/>
    </xf>
    <xf numFmtId="49" fontId="21" fillId="0" borderId="34" xfId="57" applyNumberFormat="1" applyFont="1" applyFill="1" applyBorder="1" applyAlignment="1">
      <alignment horizontal="center" vertical="center" wrapText="1"/>
      <protection/>
    </xf>
    <xf numFmtId="49" fontId="21" fillId="0" borderId="14" xfId="57" applyNumberFormat="1" applyFont="1" applyFill="1" applyBorder="1" applyAlignment="1">
      <alignment horizontal="center" vertical="center" wrapText="1"/>
      <protection/>
    </xf>
    <xf numFmtId="0" fontId="21" fillId="0" borderId="10" xfId="57" applyFont="1" applyFill="1" applyBorder="1" applyAlignment="1">
      <alignment horizontal="center" vertical="center" wrapText="1"/>
      <protection/>
    </xf>
    <xf numFmtId="0" fontId="21" fillId="0" borderId="35" xfId="0" applyFont="1" applyFill="1" applyBorder="1" applyAlignment="1">
      <alignment horizontal="center" vertical="center" wrapText="1"/>
    </xf>
    <xf numFmtId="0" fontId="21" fillId="0" borderId="36" xfId="57" applyFont="1" applyFill="1" applyBorder="1" applyAlignment="1">
      <alignment horizontal="center" vertical="center" wrapText="1"/>
      <protection/>
    </xf>
    <xf numFmtId="0" fontId="21" fillId="0" borderId="37" xfId="57" applyFont="1" applyFill="1" applyBorder="1" applyAlignment="1">
      <alignment horizontal="center" vertical="center" wrapText="1"/>
      <protection/>
    </xf>
    <xf numFmtId="0" fontId="21" fillId="0" borderId="29" xfId="57" applyFont="1" applyFill="1" applyBorder="1" applyAlignment="1">
      <alignment horizontal="center" vertical="center" wrapText="1"/>
      <protection/>
    </xf>
    <xf numFmtId="0" fontId="21" fillId="0" borderId="15" xfId="57" applyFont="1" applyFill="1" applyBorder="1" applyAlignment="1">
      <alignment horizontal="center" vertical="center" wrapText="1"/>
      <protection/>
    </xf>
    <xf numFmtId="184" fontId="21" fillId="0" borderId="38" xfId="0" applyNumberFormat="1" applyFont="1" applyFill="1" applyBorder="1" applyAlignment="1">
      <alignment/>
    </xf>
    <xf numFmtId="0" fontId="21" fillId="0" borderId="39" xfId="0" applyFont="1" applyFill="1" applyBorder="1" applyAlignment="1">
      <alignment horizontal="center" vertical="center" wrapText="1"/>
    </xf>
    <xf numFmtId="184" fontId="0" fillId="0" borderId="36" xfId="0" applyNumberFormat="1" applyFont="1" applyFill="1" applyBorder="1" applyAlignment="1">
      <alignment/>
    </xf>
    <xf numFmtId="184" fontId="0" fillId="0" borderId="37" xfId="0" applyNumberFormat="1" applyFont="1" applyFill="1" applyBorder="1" applyAlignment="1">
      <alignment/>
    </xf>
    <xf numFmtId="184" fontId="21" fillId="0" borderId="37" xfId="0" applyNumberFormat="1" applyFont="1" applyFill="1" applyBorder="1" applyAlignment="1">
      <alignment/>
    </xf>
    <xf numFmtId="4" fontId="21" fillId="0" borderId="27" xfId="0" applyNumberFormat="1" applyFont="1" applyFill="1" applyBorder="1" applyAlignment="1">
      <alignment/>
    </xf>
    <xf numFmtId="184" fontId="21" fillId="0" borderId="40" xfId="0" applyNumberFormat="1" applyFont="1" applyFill="1" applyBorder="1" applyAlignment="1">
      <alignment/>
    </xf>
    <xf numFmtId="184" fontId="21" fillId="0" borderId="41" xfId="0" applyNumberFormat="1" applyFont="1" applyFill="1" applyBorder="1" applyAlignment="1">
      <alignment/>
    </xf>
    <xf numFmtId="184" fontId="21" fillId="0" borderId="42" xfId="0" applyNumberFormat="1" applyFont="1" applyFill="1" applyBorder="1" applyAlignment="1">
      <alignment/>
    </xf>
    <xf numFmtId="0" fontId="21" fillId="0" borderId="43" xfId="57" applyFont="1" applyFill="1" applyBorder="1" applyAlignment="1">
      <alignment horizontal="center" vertical="center" wrapText="1"/>
      <protection/>
    </xf>
    <xf numFmtId="4" fontId="0" fillId="0" borderId="26" xfId="0" applyNumberFormat="1" applyFont="1" applyFill="1" applyBorder="1" applyAlignment="1">
      <alignment/>
    </xf>
    <xf numFmtId="4" fontId="21" fillId="0" borderId="40" xfId="0" applyNumberFormat="1" applyFont="1" applyFill="1" applyBorder="1" applyAlignment="1">
      <alignment/>
    </xf>
    <xf numFmtId="0" fontId="21" fillId="0" borderId="44" xfId="57" applyFont="1" applyFill="1" applyBorder="1" applyAlignment="1">
      <alignment horizontal="center" vertical="center" wrapText="1"/>
      <protection/>
    </xf>
    <xf numFmtId="0" fontId="21" fillId="0" borderId="45" xfId="57" applyFont="1" applyFill="1" applyBorder="1" applyAlignment="1">
      <alignment horizontal="center" vertical="center" wrapText="1"/>
      <protection/>
    </xf>
    <xf numFmtId="184" fontId="21" fillId="0" borderId="46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aie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6"/>
  <sheetViews>
    <sheetView tabSelected="1" zoomScale="115" zoomScaleNormal="115" workbookViewId="0" topLeftCell="A1">
      <selection activeCell="F3" sqref="F3"/>
    </sheetView>
  </sheetViews>
  <sheetFormatPr defaultColWidth="8.8515625" defaultRowHeight="12.75"/>
  <cols>
    <col min="1" max="1" width="3.28125" style="3" customWidth="1"/>
    <col min="2" max="2" width="5.421875" style="3" bestFit="1" customWidth="1"/>
    <col min="3" max="3" width="13.57421875" style="3" customWidth="1"/>
    <col min="4" max="4" width="11.140625" style="3" bestFit="1" customWidth="1"/>
    <col min="5" max="5" width="14.7109375" style="3" customWidth="1"/>
    <col min="6" max="6" width="11.8515625" style="3" customWidth="1"/>
    <col min="7" max="8" width="14.7109375" style="3" customWidth="1"/>
    <col min="9" max="9" width="12.140625" style="3" bestFit="1" customWidth="1"/>
    <col min="10" max="11" width="11.8515625" style="3" customWidth="1"/>
    <col min="12" max="12" width="11.00390625" style="3" bestFit="1" customWidth="1"/>
    <col min="13" max="13" width="10.7109375" style="3" bestFit="1" customWidth="1"/>
    <col min="14" max="14" width="9.8515625" style="3" customWidth="1"/>
    <col min="15" max="15" width="13.00390625" style="3" customWidth="1"/>
    <col min="16" max="16" width="13.421875" style="3" bestFit="1" customWidth="1"/>
    <col min="17" max="17" width="9.140625" style="3" bestFit="1" customWidth="1"/>
    <col min="18" max="19" width="8.8515625" style="5" customWidth="1"/>
    <col min="20" max="16384" width="8.8515625" style="3" customWidth="1"/>
  </cols>
  <sheetData>
    <row r="1" ht="12.75">
      <c r="A1" s="2" t="s">
        <v>2</v>
      </c>
    </row>
    <row r="2" ht="12.75">
      <c r="A2" s="4" t="s">
        <v>40</v>
      </c>
    </row>
    <row r="4" spans="3:13" ht="13.5" thickBot="1">
      <c r="C4" s="4" t="s">
        <v>51</v>
      </c>
      <c r="H4" s="26"/>
      <c r="I4" s="5"/>
      <c r="M4" s="26"/>
    </row>
    <row r="5" spans="1:17" ht="36" customHeight="1">
      <c r="A5" s="47" t="s">
        <v>0</v>
      </c>
      <c r="B5" s="52" t="s">
        <v>1</v>
      </c>
      <c r="C5" s="49" t="s">
        <v>21</v>
      </c>
      <c r="D5" s="49"/>
      <c r="E5" s="49" t="s">
        <v>3</v>
      </c>
      <c r="F5" s="49"/>
      <c r="G5" s="49" t="s">
        <v>34</v>
      </c>
      <c r="H5" s="49"/>
      <c r="I5" s="49" t="s">
        <v>22</v>
      </c>
      <c r="J5" s="49"/>
      <c r="K5" s="49"/>
      <c r="L5" s="49" t="s">
        <v>25</v>
      </c>
      <c r="M5" s="49"/>
      <c r="N5" s="49" t="s">
        <v>28</v>
      </c>
      <c r="O5" s="58" t="s">
        <v>29</v>
      </c>
      <c r="P5" s="56" t="s">
        <v>4</v>
      </c>
      <c r="Q5" s="55" t="s">
        <v>30</v>
      </c>
    </row>
    <row r="6" spans="1:17" ht="64.5" thickBot="1">
      <c r="A6" s="51"/>
      <c r="B6" s="53"/>
      <c r="C6" s="54"/>
      <c r="D6" s="54"/>
      <c r="E6" s="31" t="s">
        <v>35</v>
      </c>
      <c r="F6" s="31" t="s">
        <v>36</v>
      </c>
      <c r="G6" s="31" t="s">
        <v>32</v>
      </c>
      <c r="H6" s="31" t="s">
        <v>33</v>
      </c>
      <c r="I6" s="31" t="s">
        <v>23</v>
      </c>
      <c r="J6" s="31" t="s">
        <v>31</v>
      </c>
      <c r="K6" s="31" t="s">
        <v>24</v>
      </c>
      <c r="L6" s="43" t="s">
        <v>26</v>
      </c>
      <c r="M6" s="43" t="s">
        <v>27</v>
      </c>
      <c r="N6" s="54"/>
      <c r="O6" s="59"/>
      <c r="P6" s="57"/>
      <c r="Q6" s="61"/>
    </row>
    <row r="7" spans="1:17" ht="12.75">
      <c r="A7" s="6">
        <v>1</v>
      </c>
      <c r="B7" s="14" t="s">
        <v>44</v>
      </c>
      <c r="C7" s="51" t="s">
        <v>41</v>
      </c>
      <c r="D7" s="17" t="s">
        <v>5</v>
      </c>
      <c r="E7" s="18">
        <f>942.31</f>
        <v>942.31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9">
        <f>SUM(E7:O7)</f>
        <v>942.31</v>
      </c>
      <c r="Q7" s="62">
        <v>580</v>
      </c>
    </row>
    <row r="8" spans="1:17" ht="12.75">
      <c r="A8" s="7"/>
      <c r="B8" s="14"/>
      <c r="C8" s="45"/>
      <c r="D8" s="1" t="s">
        <v>6</v>
      </c>
      <c r="E8" s="20">
        <v>206671.9</v>
      </c>
      <c r="F8" s="18"/>
      <c r="G8" s="18"/>
      <c r="H8" s="18"/>
      <c r="I8" s="20"/>
      <c r="J8" s="18"/>
      <c r="K8" s="18"/>
      <c r="L8" s="18"/>
      <c r="M8" s="18"/>
      <c r="N8" s="18">
        <v>5132.72</v>
      </c>
      <c r="O8" s="20">
        <v>147160.9</v>
      </c>
      <c r="P8" s="21">
        <f>SUM(E8:O8)</f>
        <v>358965.52</v>
      </c>
      <c r="Q8" s="63">
        <f>290</f>
        <v>290</v>
      </c>
    </row>
    <row r="9" spans="1:17" ht="12.75">
      <c r="A9" s="7"/>
      <c r="B9" s="14"/>
      <c r="C9" s="45"/>
      <c r="D9" s="1" t="s">
        <v>7</v>
      </c>
      <c r="E9" s="20">
        <f>292385.79-20453.15</f>
        <v>271932.63999999996</v>
      </c>
      <c r="F9" s="18"/>
      <c r="G9" s="18">
        <v>227.65</v>
      </c>
      <c r="H9" s="18">
        <v>2999.51</v>
      </c>
      <c r="I9" s="20"/>
      <c r="J9" s="18">
        <f>32850-500</f>
        <v>32350</v>
      </c>
      <c r="K9" s="18"/>
      <c r="L9" s="18"/>
      <c r="M9" s="18"/>
      <c r="N9" s="20"/>
      <c r="O9" s="20">
        <v>0</v>
      </c>
      <c r="P9" s="21">
        <f>SUM(E9:O9)</f>
        <v>307509.8</v>
      </c>
      <c r="Q9" s="63"/>
    </row>
    <row r="10" spans="1:17" ht="12.75">
      <c r="A10" s="7"/>
      <c r="B10" s="14"/>
      <c r="C10" s="45"/>
      <c r="D10" s="1" t="s">
        <v>17</v>
      </c>
      <c r="E10" s="22">
        <f aca="true" t="shared" si="0" ref="E10:O10">SUM(E7:E9)</f>
        <v>479546.85</v>
      </c>
      <c r="F10" s="22">
        <f t="shared" si="0"/>
        <v>0</v>
      </c>
      <c r="G10" s="22">
        <f t="shared" si="0"/>
        <v>227.65</v>
      </c>
      <c r="H10" s="22">
        <f t="shared" si="0"/>
        <v>2999.51</v>
      </c>
      <c r="I10" s="22">
        <f t="shared" si="0"/>
        <v>0</v>
      </c>
      <c r="J10" s="22">
        <f t="shared" si="0"/>
        <v>32350</v>
      </c>
      <c r="K10" s="22">
        <f t="shared" si="0"/>
        <v>0</v>
      </c>
      <c r="L10" s="22">
        <f t="shared" si="0"/>
        <v>0</v>
      </c>
      <c r="M10" s="22">
        <f t="shared" si="0"/>
        <v>0</v>
      </c>
      <c r="N10" s="22">
        <f t="shared" si="0"/>
        <v>5132.72</v>
      </c>
      <c r="O10" s="22">
        <f t="shared" si="0"/>
        <v>147160.9</v>
      </c>
      <c r="P10" s="23">
        <f>SUM(P7:P9)</f>
        <v>667417.63</v>
      </c>
      <c r="Q10" s="64">
        <f>SUM(Q7:Q9)</f>
        <v>870</v>
      </c>
    </row>
    <row r="11" spans="1:17" ht="12.75">
      <c r="A11" s="7"/>
      <c r="B11" s="14"/>
      <c r="C11" s="45"/>
      <c r="D11" s="1" t="s">
        <v>8</v>
      </c>
      <c r="E11" s="20">
        <v>720357.62</v>
      </c>
      <c r="F11" s="20"/>
      <c r="G11" s="20">
        <v>346.82</v>
      </c>
      <c r="H11" s="20"/>
      <c r="I11" s="20"/>
      <c r="J11" s="20"/>
      <c r="K11" s="20">
        <f>8240+11573-8000-11813</f>
        <v>0</v>
      </c>
      <c r="L11" s="20">
        <f>15780+41210-56990</f>
        <v>0</v>
      </c>
      <c r="M11" s="20">
        <v>488.28</v>
      </c>
      <c r="N11" s="20">
        <v>9438.14</v>
      </c>
      <c r="O11" s="20">
        <v>125023</v>
      </c>
      <c r="P11" s="21">
        <f>SUM(E11:O11)</f>
        <v>855653.86</v>
      </c>
      <c r="Q11" s="63">
        <f>420-420</f>
        <v>0</v>
      </c>
    </row>
    <row r="12" spans="1:17" ht="12.75">
      <c r="A12" s="7"/>
      <c r="B12" s="14"/>
      <c r="C12" s="45"/>
      <c r="D12" s="1" t="s">
        <v>9</v>
      </c>
      <c r="E12" s="20">
        <v>60276.28</v>
      </c>
      <c r="F12" s="20"/>
      <c r="G12" s="20"/>
      <c r="H12" s="20">
        <v>7500.49</v>
      </c>
      <c r="I12" s="20"/>
      <c r="J12" s="20">
        <v>7938.23</v>
      </c>
      <c r="K12" s="20"/>
      <c r="L12" s="20"/>
      <c r="M12" s="20"/>
      <c r="N12" s="20">
        <v>9438.14</v>
      </c>
      <c r="O12" s="20">
        <v>20601</v>
      </c>
      <c r="P12" s="21">
        <f>SUM(E12:O12)</f>
        <v>105754.14</v>
      </c>
      <c r="Q12" s="63">
        <v>0</v>
      </c>
    </row>
    <row r="13" spans="1:17" ht="12.75">
      <c r="A13" s="7"/>
      <c r="B13" s="14"/>
      <c r="C13" s="45"/>
      <c r="D13" s="1" t="s">
        <v>10</v>
      </c>
      <c r="E13" s="20">
        <v>758787.67</v>
      </c>
      <c r="F13" s="20">
        <v>306840.27</v>
      </c>
      <c r="G13" s="20"/>
      <c r="H13" s="20"/>
      <c r="I13" s="20"/>
      <c r="J13" s="20">
        <v>61.77</v>
      </c>
      <c r="K13" s="20"/>
      <c r="L13" s="20"/>
      <c r="M13" s="20">
        <f>542.28+9.44</f>
        <v>551.72</v>
      </c>
      <c r="N13" s="20">
        <v>9438.14</v>
      </c>
      <c r="O13" s="20">
        <f>177928.33+32244.92</f>
        <v>210173.25</v>
      </c>
      <c r="P13" s="21">
        <f>SUM(E13:O13)</f>
        <v>1285852.8199999998</v>
      </c>
      <c r="Q13" s="63"/>
    </row>
    <row r="14" spans="1:17" ht="12.75">
      <c r="A14" s="7"/>
      <c r="B14" s="14"/>
      <c r="C14" s="45"/>
      <c r="D14" s="1" t="s">
        <v>18</v>
      </c>
      <c r="E14" s="22">
        <f aca="true" t="shared" si="1" ref="E14:O14">SUM(E11:E13)</f>
        <v>1539421.57</v>
      </c>
      <c r="F14" s="22">
        <f t="shared" si="1"/>
        <v>306840.27</v>
      </c>
      <c r="G14" s="22">
        <f t="shared" si="1"/>
        <v>346.82</v>
      </c>
      <c r="H14" s="22">
        <f t="shared" si="1"/>
        <v>7500.49</v>
      </c>
      <c r="I14" s="22">
        <f t="shared" si="1"/>
        <v>0</v>
      </c>
      <c r="J14" s="22">
        <f t="shared" si="1"/>
        <v>8000</v>
      </c>
      <c r="K14" s="22">
        <f t="shared" si="1"/>
        <v>0</v>
      </c>
      <c r="L14" s="22">
        <f t="shared" si="1"/>
        <v>0</v>
      </c>
      <c r="M14" s="22">
        <f t="shared" si="1"/>
        <v>1040</v>
      </c>
      <c r="N14" s="22">
        <f t="shared" si="1"/>
        <v>28314.42</v>
      </c>
      <c r="O14" s="22">
        <f t="shared" si="1"/>
        <v>355797.25</v>
      </c>
      <c r="P14" s="23">
        <f>SUM(P11:P13)</f>
        <v>2247260.82</v>
      </c>
      <c r="Q14" s="64">
        <f>SUM(Q11:Q13)</f>
        <v>0</v>
      </c>
    </row>
    <row r="15" spans="1:17" ht="12.75">
      <c r="A15" s="7"/>
      <c r="B15" s="14"/>
      <c r="C15" s="45"/>
      <c r="D15" s="1" t="s">
        <v>11</v>
      </c>
      <c r="E15" s="20">
        <v>500236.58</v>
      </c>
      <c r="F15" s="20">
        <f>83704.07-4570.51</f>
        <v>79133.56000000001</v>
      </c>
      <c r="G15" s="20"/>
      <c r="H15" s="20"/>
      <c r="I15" s="20"/>
      <c r="J15" s="20"/>
      <c r="K15" s="20"/>
      <c r="L15" s="20">
        <f>24000+6000-29270.92</f>
        <v>729.0800000000017</v>
      </c>
      <c r="M15" s="20"/>
      <c r="N15" s="20">
        <f>20772.86-11334.72</f>
        <v>9438.140000000001</v>
      </c>
      <c r="O15" s="20">
        <f>189123-10063+24303.96-67110-136253.96</f>
        <v>0</v>
      </c>
      <c r="P15" s="21">
        <f>SUM(E15:O15)</f>
        <v>589537.36</v>
      </c>
      <c r="Q15" s="63"/>
    </row>
    <row r="16" spans="1:17" ht="12.75">
      <c r="A16" s="7"/>
      <c r="B16" s="14"/>
      <c r="C16" s="45"/>
      <c r="D16" s="1" t="s">
        <v>12</v>
      </c>
      <c r="E16" s="20"/>
      <c r="F16" s="20">
        <f>4570.51-4570.51</f>
        <v>0</v>
      </c>
      <c r="G16" s="20">
        <f>200+200+125.53-525.53</f>
        <v>0</v>
      </c>
      <c r="H16" s="20"/>
      <c r="I16" s="20">
        <f>10033+5926.66-15959.66</f>
        <v>0</v>
      </c>
      <c r="J16" s="20"/>
      <c r="K16" s="20">
        <f>12957-12957</f>
        <v>0</v>
      </c>
      <c r="L16" s="20">
        <f>29270.92-27312.06</f>
        <v>1958.859999999997</v>
      </c>
      <c r="M16" s="20"/>
      <c r="N16" s="20">
        <f>11334.72-1896.58</f>
        <v>9438.14</v>
      </c>
      <c r="O16" s="20">
        <f>136253.96-29523.34</f>
        <v>106730.62</v>
      </c>
      <c r="P16" s="21">
        <f>SUM(E16:O16)</f>
        <v>118127.62</v>
      </c>
      <c r="Q16" s="63"/>
    </row>
    <row r="17" spans="1:17" ht="12.75">
      <c r="A17" s="7"/>
      <c r="B17" s="14"/>
      <c r="C17" s="45"/>
      <c r="D17" s="1" t="s">
        <v>13</v>
      </c>
      <c r="E17" s="20">
        <f>696886.22+15505.14+9057.68</f>
        <v>721449.04</v>
      </c>
      <c r="F17" s="20">
        <f>4570.51-4570.51</f>
        <v>0</v>
      </c>
      <c r="G17" s="20">
        <v>508.03</v>
      </c>
      <c r="H17" s="20">
        <v>894.96</v>
      </c>
      <c r="I17" s="20">
        <f>15959.66+12129.34-113.34-27975.66</f>
        <v>0</v>
      </c>
      <c r="J17" s="20"/>
      <c r="K17" s="20">
        <f>12957+11813-24770</f>
        <v>0</v>
      </c>
      <c r="L17" s="20">
        <v>26523.83</v>
      </c>
      <c r="M17" s="20"/>
      <c r="N17" s="20">
        <f>1896.58+9500-11396.58</f>
        <v>0</v>
      </c>
      <c r="O17" s="20">
        <v>137839.22</v>
      </c>
      <c r="P17" s="21">
        <f>SUM(E17:O17)</f>
        <v>887215.08</v>
      </c>
      <c r="Q17" s="63"/>
    </row>
    <row r="18" spans="1:17" ht="12.75">
      <c r="A18" s="7"/>
      <c r="B18" s="14"/>
      <c r="C18" s="45"/>
      <c r="D18" s="1" t="s">
        <v>19</v>
      </c>
      <c r="E18" s="22">
        <f aca="true" t="shared" si="2" ref="E18:O18">SUM(E15:E17)</f>
        <v>1221685.62</v>
      </c>
      <c r="F18" s="22">
        <f t="shared" si="2"/>
        <v>79133.56000000001</v>
      </c>
      <c r="G18" s="22">
        <f t="shared" si="2"/>
        <v>508.03</v>
      </c>
      <c r="H18" s="22">
        <f t="shared" si="2"/>
        <v>894.96</v>
      </c>
      <c r="I18" s="22">
        <f t="shared" si="2"/>
        <v>0</v>
      </c>
      <c r="J18" s="22">
        <f t="shared" si="2"/>
        <v>0</v>
      </c>
      <c r="K18" s="22">
        <f t="shared" si="2"/>
        <v>0</v>
      </c>
      <c r="L18" s="22">
        <f t="shared" si="2"/>
        <v>29211.77</v>
      </c>
      <c r="M18" s="22">
        <f t="shared" si="2"/>
        <v>0</v>
      </c>
      <c r="N18" s="22">
        <f t="shared" si="2"/>
        <v>18876.28</v>
      </c>
      <c r="O18" s="22">
        <f t="shared" si="2"/>
        <v>244569.84</v>
      </c>
      <c r="P18" s="23">
        <f>SUM(P15:P17)</f>
        <v>1594880.06</v>
      </c>
      <c r="Q18" s="64">
        <f>SUM(Q15:Q17)</f>
        <v>0</v>
      </c>
    </row>
    <row r="19" spans="1:17" ht="12.75">
      <c r="A19" s="7"/>
      <c r="B19" s="14"/>
      <c r="C19" s="45"/>
      <c r="D19" s="1" t="s">
        <v>14</v>
      </c>
      <c r="E19" s="20">
        <f>453550.96-416600.44</f>
        <v>36950.52000000002</v>
      </c>
      <c r="F19" s="20">
        <f>714570.51-600356.81</f>
        <v>114213.69999999995</v>
      </c>
      <c r="G19" s="20">
        <f>200-200+17.5-17.5</f>
        <v>0</v>
      </c>
      <c r="H19" s="20">
        <f>2700-1730+2605+895+505.04+20870-20870.84</f>
        <v>4974.200000000001</v>
      </c>
      <c r="I19" s="20">
        <f>24967-5926.66-12129.34+113.34+27975.66-18506.77</f>
        <v>16493.23</v>
      </c>
      <c r="J19" s="20">
        <f>20500-20500</f>
        <v>0</v>
      </c>
      <c r="K19" s="20">
        <f>11813-11813+24770-24770</f>
        <v>0</v>
      </c>
      <c r="L19" s="20">
        <f>34400+50990-56990-28400+1788.23-1788.23</f>
        <v>0</v>
      </c>
      <c r="M19" s="20">
        <f>40-40</f>
        <v>0</v>
      </c>
      <c r="N19" s="20">
        <f>11396.58+9500-14840.28</f>
        <v>6056.300000000001</v>
      </c>
      <c r="O19" s="20">
        <f>186740+3474.12-177662.77</f>
        <v>12551.350000000006</v>
      </c>
      <c r="P19" s="21">
        <f>SUM(E19:O19)</f>
        <v>191239.3</v>
      </c>
      <c r="Q19" s="63">
        <f>1810-1810</f>
        <v>0</v>
      </c>
    </row>
    <row r="20" spans="1:17" ht="12.75">
      <c r="A20" s="7"/>
      <c r="B20" s="14"/>
      <c r="C20" s="45"/>
      <c r="D20" s="1" t="s">
        <v>15</v>
      </c>
      <c r="E20" s="20">
        <f>-171750.35+416600.44+271742.8-140953.96</f>
        <v>375638.93000000005</v>
      </c>
      <c r="F20" s="20">
        <f>600356.81-67356.81-369837.57</f>
        <v>163162.43</v>
      </c>
      <c r="G20" s="20">
        <f>17.5-17.5</f>
        <v>0</v>
      </c>
      <c r="H20" s="20">
        <f>20870.84+130-0.31</f>
        <v>21000.53</v>
      </c>
      <c r="I20" s="20">
        <f>18506.77-99.94</f>
        <v>18406.83</v>
      </c>
      <c r="J20" s="20">
        <f>20500-708.13</f>
        <v>19791.87</v>
      </c>
      <c r="K20" s="20">
        <f>-14170+24770-10600</f>
        <v>0</v>
      </c>
      <c r="L20" s="20">
        <f>1788.23-22.95</f>
        <v>1765.28</v>
      </c>
      <c r="M20" s="20">
        <f>40-0.76</f>
        <v>39.24</v>
      </c>
      <c r="N20" s="20">
        <f>14840.28+9500-9576</f>
        <v>14764.279999999999</v>
      </c>
      <c r="O20" s="20">
        <f>177662.77-49970.36</f>
        <v>127692.40999999999</v>
      </c>
      <c r="P20" s="21">
        <f>SUM(E20:O20)</f>
        <v>742261.8000000002</v>
      </c>
      <c r="Q20" s="63"/>
    </row>
    <row r="21" spans="1:17" ht="12.75">
      <c r="A21" s="7"/>
      <c r="B21" s="14"/>
      <c r="C21" s="45"/>
      <c r="D21" s="1" t="s">
        <v>16</v>
      </c>
      <c r="E21" s="20">
        <f>600000+140953.96-6060.01</f>
        <v>734893.95</v>
      </c>
      <c r="F21" s="20">
        <f>369837.57</f>
        <v>369837.57</v>
      </c>
      <c r="G21" s="20">
        <f>17.5-17.5</f>
        <v>0</v>
      </c>
      <c r="H21" s="20">
        <f>8000+0.31</f>
        <v>8000.31</v>
      </c>
      <c r="I21" s="20">
        <f>99.94</f>
        <v>99.94</v>
      </c>
      <c r="J21" s="20">
        <f>708.13</f>
        <v>708.13</v>
      </c>
      <c r="K21" s="20">
        <f>10600</f>
        <v>10600</v>
      </c>
      <c r="L21" s="20">
        <f>22.95</f>
        <v>22.95</v>
      </c>
      <c r="M21" s="20">
        <f>0.76</f>
        <v>0.76</v>
      </c>
      <c r="N21" s="20">
        <f>9576</f>
        <v>9576</v>
      </c>
      <c r="O21" s="20">
        <f>49970.36-15.11</f>
        <v>49955.25</v>
      </c>
      <c r="P21" s="21">
        <f>SUM(E21:O21)</f>
        <v>1183694.8599999999</v>
      </c>
      <c r="Q21" s="63"/>
    </row>
    <row r="22" spans="1:17" ht="13.5" thickBot="1">
      <c r="A22" s="7"/>
      <c r="B22" s="14"/>
      <c r="C22" s="45"/>
      <c r="D22" s="70" t="s">
        <v>20</v>
      </c>
      <c r="E22" s="37">
        <f aca="true" t="shared" si="3" ref="E22:O22">SUM(E19:E21)</f>
        <v>1147483.4</v>
      </c>
      <c r="F22" s="37">
        <f t="shared" si="3"/>
        <v>647213.7</v>
      </c>
      <c r="G22" s="37">
        <f t="shared" si="3"/>
        <v>0</v>
      </c>
      <c r="H22" s="37">
        <f t="shared" si="3"/>
        <v>33975.04</v>
      </c>
      <c r="I22" s="37">
        <f t="shared" si="3"/>
        <v>35000</v>
      </c>
      <c r="J22" s="37">
        <f t="shared" si="3"/>
        <v>20500</v>
      </c>
      <c r="K22" s="37">
        <f t="shared" si="3"/>
        <v>10600</v>
      </c>
      <c r="L22" s="37">
        <f t="shared" si="3"/>
        <v>1788.23</v>
      </c>
      <c r="M22" s="37">
        <f t="shared" si="3"/>
        <v>40</v>
      </c>
      <c r="N22" s="37">
        <f t="shared" si="3"/>
        <v>30396.58</v>
      </c>
      <c r="O22" s="37">
        <f t="shared" si="3"/>
        <v>190199.01</v>
      </c>
      <c r="P22" s="38">
        <f>SUM(P19:P21)</f>
        <v>2117195.96</v>
      </c>
      <c r="Q22" s="74">
        <f>SUM(Q19:Q21)</f>
        <v>0</v>
      </c>
    </row>
    <row r="23" spans="1:17" ht="13.5" thickBot="1">
      <c r="A23" s="8"/>
      <c r="B23" s="34"/>
      <c r="C23" s="73"/>
      <c r="D23" s="71" t="s">
        <v>37</v>
      </c>
      <c r="E23" s="67">
        <f aca="true" t="shared" si="4" ref="E23:O23">E10+E14+E18+E22</f>
        <v>4388137.4399999995</v>
      </c>
      <c r="F23" s="67">
        <f t="shared" si="4"/>
        <v>1033187.53</v>
      </c>
      <c r="G23" s="67">
        <f t="shared" si="4"/>
        <v>1082.5</v>
      </c>
      <c r="H23" s="67">
        <f t="shared" si="4"/>
        <v>45370</v>
      </c>
      <c r="I23" s="67">
        <f t="shared" si="4"/>
        <v>35000</v>
      </c>
      <c r="J23" s="67">
        <f t="shared" si="4"/>
        <v>60850</v>
      </c>
      <c r="K23" s="67">
        <f t="shared" si="4"/>
        <v>10600</v>
      </c>
      <c r="L23" s="67">
        <f t="shared" si="4"/>
        <v>31000</v>
      </c>
      <c r="M23" s="67">
        <f t="shared" si="4"/>
        <v>1080</v>
      </c>
      <c r="N23" s="67">
        <f t="shared" si="4"/>
        <v>82720</v>
      </c>
      <c r="O23" s="67">
        <f t="shared" si="4"/>
        <v>937727</v>
      </c>
      <c r="P23" s="68">
        <f>P10+P14+P18+P22</f>
        <v>6626754.47</v>
      </c>
      <c r="Q23" s="60">
        <f>Q10+Q14+Q18+Q22</f>
        <v>870</v>
      </c>
    </row>
    <row r="24" spans="1:17" ht="12.75">
      <c r="A24" s="32">
        <v>2</v>
      </c>
      <c r="B24" s="33" t="s">
        <v>45</v>
      </c>
      <c r="C24" s="50" t="s">
        <v>38</v>
      </c>
      <c r="D24" s="17" t="s">
        <v>5</v>
      </c>
      <c r="E24" s="24"/>
      <c r="F24" s="24"/>
      <c r="G24" s="24"/>
      <c r="H24" s="24"/>
      <c r="I24" s="24">
        <v>11486.26</v>
      </c>
      <c r="J24" s="24"/>
      <c r="K24" s="24"/>
      <c r="L24" s="24"/>
      <c r="M24" s="24"/>
      <c r="N24" s="24"/>
      <c r="O24" s="24"/>
      <c r="P24" s="25">
        <f>SUM(E24:O24)</f>
        <v>11486.26</v>
      </c>
      <c r="Q24" s="26"/>
    </row>
    <row r="25" spans="1:17" ht="12.75" customHeight="1">
      <c r="A25" s="7"/>
      <c r="B25" s="14"/>
      <c r="C25" s="48"/>
      <c r="D25" s="1" t="s">
        <v>6</v>
      </c>
      <c r="E25" s="20">
        <v>35827.21</v>
      </c>
      <c r="F25" s="20">
        <v>5440.08</v>
      </c>
      <c r="G25" s="20"/>
      <c r="H25" s="20"/>
      <c r="I25" s="20"/>
      <c r="J25" s="20"/>
      <c r="K25" s="20"/>
      <c r="L25" s="20"/>
      <c r="M25" s="20"/>
      <c r="N25" s="20"/>
      <c r="O25" s="20"/>
      <c r="P25" s="21">
        <f>SUM(E25:O25)</f>
        <v>41267.29</v>
      </c>
      <c r="Q25" s="26"/>
    </row>
    <row r="26" spans="1:17" ht="12.75" customHeight="1">
      <c r="A26" s="7"/>
      <c r="B26" s="14"/>
      <c r="C26" s="48"/>
      <c r="D26" s="1" t="s">
        <v>7</v>
      </c>
      <c r="E26" s="20">
        <f>200000-35827.21-162162.83</f>
        <v>2009.960000000021</v>
      </c>
      <c r="F26" s="20">
        <f>21760.32-21760.32</f>
        <v>0</v>
      </c>
      <c r="G26" s="20">
        <f>955.82</f>
        <v>955.82</v>
      </c>
      <c r="H26" s="20"/>
      <c r="I26" s="20"/>
      <c r="J26" s="20"/>
      <c r="K26" s="20"/>
      <c r="L26" s="20"/>
      <c r="M26" s="20"/>
      <c r="N26" s="20"/>
      <c r="O26" s="20">
        <v>44407.69</v>
      </c>
      <c r="P26" s="21">
        <f>SUM(E26:O26)</f>
        <v>47373.47000000002</v>
      </c>
      <c r="Q26" s="26"/>
    </row>
    <row r="27" spans="1:17" ht="12.75" customHeight="1">
      <c r="A27" s="7"/>
      <c r="B27" s="14"/>
      <c r="C27" s="48"/>
      <c r="D27" s="1" t="s">
        <v>17</v>
      </c>
      <c r="E27" s="22">
        <f aca="true" t="shared" si="5" ref="E27:O27">SUM(E24:E26)</f>
        <v>37837.17000000002</v>
      </c>
      <c r="F27" s="22">
        <f t="shared" si="5"/>
        <v>5440.08</v>
      </c>
      <c r="G27" s="22">
        <f t="shared" si="5"/>
        <v>955.82</v>
      </c>
      <c r="H27" s="22">
        <f t="shared" si="5"/>
        <v>0</v>
      </c>
      <c r="I27" s="22">
        <f t="shared" si="5"/>
        <v>11486.26</v>
      </c>
      <c r="J27" s="22">
        <f t="shared" si="5"/>
        <v>0</v>
      </c>
      <c r="K27" s="22">
        <f t="shared" si="5"/>
        <v>0</v>
      </c>
      <c r="L27" s="22">
        <f t="shared" si="5"/>
        <v>0</v>
      </c>
      <c r="M27" s="22">
        <f t="shared" si="5"/>
        <v>0</v>
      </c>
      <c r="N27" s="22">
        <f t="shared" si="5"/>
        <v>0</v>
      </c>
      <c r="O27" s="22">
        <f t="shared" si="5"/>
        <v>44407.69</v>
      </c>
      <c r="P27" s="23">
        <f>SUM(P24:P26)</f>
        <v>100127.02000000002</v>
      </c>
      <c r="Q27" s="26"/>
    </row>
    <row r="28" spans="1:17" ht="12.75" customHeight="1">
      <c r="A28" s="7"/>
      <c r="B28" s="14"/>
      <c r="C28" s="48"/>
      <c r="D28" s="1" t="s">
        <v>8</v>
      </c>
      <c r="E28" s="20">
        <v>35671.75</v>
      </c>
      <c r="F28" s="20">
        <f>21760.32+10880.16</f>
        <v>32640.48</v>
      </c>
      <c r="G28" s="20"/>
      <c r="H28" s="20"/>
      <c r="I28" s="20">
        <f>5887.08</f>
        <v>5887.08</v>
      </c>
      <c r="J28" s="20"/>
      <c r="K28" s="20"/>
      <c r="L28" s="20"/>
      <c r="M28" s="20"/>
      <c r="N28" s="20"/>
      <c r="O28" s="20"/>
      <c r="P28" s="21">
        <f>SUM(E28:O28)</f>
        <v>74199.31</v>
      </c>
      <c r="Q28" s="26"/>
    </row>
    <row r="29" spans="1:17" ht="12.75">
      <c r="A29" s="7"/>
      <c r="B29" s="14"/>
      <c r="C29" s="48"/>
      <c r="D29" s="1" t="s">
        <v>9</v>
      </c>
      <c r="E29" s="20">
        <v>20653.13</v>
      </c>
      <c r="F29" s="20">
        <v>50320.77</v>
      </c>
      <c r="G29" s="20"/>
      <c r="H29" s="20"/>
      <c r="I29" s="20"/>
      <c r="J29" s="20"/>
      <c r="K29" s="20"/>
      <c r="L29" s="20"/>
      <c r="M29" s="20"/>
      <c r="N29" s="20"/>
      <c r="O29" s="20">
        <v>56985.2</v>
      </c>
      <c r="P29" s="21">
        <f>SUM(E29:O29)</f>
        <v>127959.09999999999</v>
      </c>
      <c r="Q29" s="26"/>
    </row>
    <row r="30" spans="1:17" ht="12.75">
      <c r="A30" s="7"/>
      <c r="B30" s="14"/>
      <c r="C30" s="48"/>
      <c r="D30" s="1" t="s">
        <v>10</v>
      </c>
      <c r="E30" s="20">
        <v>18633.59</v>
      </c>
      <c r="F30" s="20">
        <v>17677.37</v>
      </c>
      <c r="G30" s="20"/>
      <c r="H30" s="20"/>
      <c r="I30" s="20">
        <v>-113.34</v>
      </c>
      <c r="J30" s="20"/>
      <c r="K30" s="20"/>
      <c r="L30" s="20"/>
      <c r="M30" s="20"/>
      <c r="N30" s="20"/>
      <c r="O30" s="20"/>
      <c r="P30" s="21">
        <f>SUM(E30:O30)</f>
        <v>36197.62</v>
      </c>
      <c r="Q30" s="26"/>
    </row>
    <row r="31" spans="1:17" ht="12.75" customHeight="1">
      <c r="A31" s="7"/>
      <c r="B31" s="14"/>
      <c r="C31" s="48"/>
      <c r="D31" s="1" t="s">
        <v>18</v>
      </c>
      <c r="E31" s="22">
        <f aca="true" t="shared" si="6" ref="E31:O31">SUM(E28:E30)</f>
        <v>74958.47</v>
      </c>
      <c r="F31" s="22">
        <f t="shared" si="6"/>
        <v>100638.62</v>
      </c>
      <c r="G31" s="22">
        <f t="shared" si="6"/>
        <v>0</v>
      </c>
      <c r="H31" s="22">
        <f t="shared" si="6"/>
        <v>0</v>
      </c>
      <c r="I31" s="22">
        <f t="shared" si="6"/>
        <v>5773.74</v>
      </c>
      <c r="J31" s="22">
        <f t="shared" si="6"/>
        <v>0</v>
      </c>
      <c r="K31" s="22">
        <f t="shared" si="6"/>
        <v>0</v>
      </c>
      <c r="L31" s="22">
        <f t="shared" si="6"/>
        <v>0</v>
      </c>
      <c r="M31" s="22">
        <f t="shared" si="6"/>
        <v>0</v>
      </c>
      <c r="N31" s="22">
        <f t="shared" si="6"/>
        <v>0</v>
      </c>
      <c r="O31" s="22">
        <f t="shared" si="6"/>
        <v>56985.2</v>
      </c>
      <c r="P31" s="23">
        <f>SUM(P28:P30)</f>
        <v>238356.02999999997</v>
      </c>
      <c r="Q31" s="26"/>
    </row>
    <row r="32" spans="1:17" ht="12.75">
      <c r="A32" s="7"/>
      <c r="B32" s="14"/>
      <c r="C32" s="48"/>
      <c r="D32" s="1" t="s">
        <v>11</v>
      </c>
      <c r="E32" s="20">
        <f>349399.35-100000-168040.62</f>
        <v>81358.72999999998</v>
      </c>
      <c r="F32" s="20">
        <f>164514.3-99244.14</f>
        <v>65270.15999999999</v>
      </c>
      <c r="G32" s="20"/>
      <c r="H32" s="20"/>
      <c r="I32" s="20">
        <v>113.34</v>
      </c>
      <c r="J32" s="20"/>
      <c r="K32" s="20"/>
      <c r="L32" s="20"/>
      <c r="M32" s="20"/>
      <c r="N32" s="20"/>
      <c r="O32" s="20">
        <f>79329-10063-667.94</f>
        <v>68598.06</v>
      </c>
      <c r="P32" s="21">
        <f>SUM(E32:O32)</f>
        <v>215340.28999999995</v>
      </c>
      <c r="Q32" s="26"/>
    </row>
    <row r="33" spans="1:17" ht="12.75">
      <c r="A33" s="7"/>
      <c r="B33" s="14"/>
      <c r="C33" s="48"/>
      <c r="D33" s="1" t="s">
        <v>12</v>
      </c>
      <c r="E33" s="20">
        <f>168040.62-37409.03-128120.5</f>
        <v>2511.0899999999965</v>
      </c>
      <c r="F33" s="20">
        <f>99244.14-28537.14</f>
        <v>70707</v>
      </c>
      <c r="G33" s="20">
        <f>400+400+444.18-1244.18</f>
        <v>0</v>
      </c>
      <c r="H33" s="20"/>
      <c r="I33" s="20"/>
      <c r="J33" s="20"/>
      <c r="K33" s="20"/>
      <c r="L33" s="20"/>
      <c r="M33" s="20"/>
      <c r="N33" s="20"/>
      <c r="O33" s="20">
        <f>667.94-667.94</f>
        <v>0</v>
      </c>
      <c r="P33" s="21">
        <f>SUM(E33:O33)</f>
        <v>73218.09</v>
      </c>
      <c r="Q33" s="26"/>
    </row>
    <row r="34" spans="1:17" ht="12.75">
      <c r="A34" s="7"/>
      <c r="B34" s="14"/>
      <c r="C34" s="48"/>
      <c r="D34" s="1" t="s">
        <v>13</v>
      </c>
      <c r="E34" s="20">
        <v>44720.56</v>
      </c>
      <c r="F34" s="20">
        <f>20500+28537.14-85.76</f>
        <v>48951.38</v>
      </c>
      <c r="G34" s="20">
        <v>1378.58</v>
      </c>
      <c r="H34" s="20"/>
      <c r="I34" s="20">
        <v>6670.8</v>
      </c>
      <c r="J34" s="20"/>
      <c r="K34" s="20"/>
      <c r="L34" s="20"/>
      <c r="M34" s="20"/>
      <c r="N34" s="20"/>
      <c r="O34" s="20">
        <v>55690.28</v>
      </c>
      <c r="P34" s="21">
        <f>SUM(E34:O34)</f>
        <v>157411.6</v>
      </c>
      <c r="Q34" s="26"/>
    </row>
    <row r="35" spans="1:17" ht="12.75" customHeight="1">
      <c r="A35" s="7"/>
      <c r="B35" s="14"/>
      <c r="C35" s="48"/>
      <c r="D35" s="1" t="s">
        <v>19</v>
      </c>
      <c r="E35" s="22">
        <f aca="true" t="shared" si="7" ref="E35:O35">SUM(E32:E34)</f>
        <v>128590.37999999998</v>
      </c>
      <c r="F35" s="22">
        <f t="shared" si="7"/>
        <v>184928.53999999998</v>
      </c>
      <c r="G35" s="22">
        <f t="shared" si="7"/>
        <v>1378.58</v>
      </c>
      <c r="H35" s="22">
        <f t="shared" si="7"/>
        <v>0</v>
      </c>
      <c r="I35" s="22">
        <f t="shared" si="7"/>
        <v>6784.14</v>
      </c>
      <c r="J35" s="22">
        <f t="shared" si="7"/>
        <v>0</v>
      </c>
      <c r="K35" s="22">
        <f t="shared" si="7"/>
        <v>0</v>
      </c>
      <c r="L35" s="22">
        <f t="shared" si="7"/>
        <v>0</v>
      </c>
      <c r="M35" s="22">
        <f t="shared" si="7"/>
        <v>0</v>
      </c>
      <c r="N35" s="22">
        <f t="shared" si="7"/>
        <v>0</v>
      </c>
      <c r="O35" s="22">
        <f t="shared" si="7"/>
        <v>124288.34</v>
      </c>
      <c r="P35" s="23">
        <f>SUM(P32:P34)</f>
        <v>445969.98</v>
      </c>
      <c r="Q35" s="26"/>
    </row>
    <row r="36" spans="1:17" ht="12.75">
      <c r="A36" s="7"/>
      <c r="B36" s="14"/>
      <c r="C36" s="48"/>
      <c r="D36" s="1" t="s">
        <v>14</v>
      </c>
      <c r="E36" s="20">
        <f>100279.95-86426.08</f>
        <v>13853.869999999995</v>
      </c>
      <c r="F36" s="20">
        <f>449585.76-335365.88</f>
        <v>114219.88</v>
      </c>
      <c r="G36" s="20">
        <f>400-400+1500+0.6-1500.6</f>
        <v>0</v>
      </c>
      <c r="H36" s="20"/>
      <c r="I36" s="20">
        <f>12983-5773-113.34-3251+6749-55.66-113.34+0.2-10425.86</f>
        <v>0</v>
      </c>
      <c r="J36" s="20"/>
      <c r="K36" s="20"/>
      <c r="L36" s="20"/>
      <c r="M36" s="20"/>
      <c r="N36" s="20"/>
      <c r="O36" s="20">
        <f>50000+977.66-443.08</f>
        <v>50534.58</v>
      </c>
      <c r="P36" s="21">
        <f>SUM(E36:O36)</f>
        <v>178608.33000000002</v>
      </c>
      <c r="Q36" s="26"/>
    </row>
    <row r="37" spans="1:17" ht="12.75">
      <c r="A37" s="7"/>
      <c r="B37" s="14"/>
      <c r="C37" s="48"/>
      <c r="D37" s="1" t="s">
        <v>15</v>
      </c>
      <c r="E37" s="20">
        <f>-15884.67+86426.08+29500-47848.3</f>
        <v>52193.11</v>
      </c>
      <c r="F37" s="20">
        <f>335365.88-150367.26-89815.52</f>
        <v>95183.09999999999</v>
      </c>
      <c r="G37" s="20">
        <f>1500.6-53.03</f>
        <v>1447.57</v>
      </c>
      <c r="H37" s="20"/>
      <c r="I37" s="20">
        <f>10425.86-419.66</f>
        <v>10006.2</v>
      </c>
      <c r="J37" s="20"/>
      <c r="K37" s="20"/>
      <c r="L37" s="20"/>
      <c r="M37" s="20"/>
      <c r="N37" s="20"/>
      <c r="O37" s="20">
        <f>443.08-443.08</f>
        <v>0</v>
      </c>
      <c r="P37" s="21">
        <f>SUM(E37:O37)</f>
        <v>158829.98</v>
      </c>
      <c r="Q37" s="26"/>
    </row>
    <row r="38" spans="1:17" ht="12.75">
      <c r="A38" s="7"/>
      <c r="B38" s="14"/>
      <c r="C38" s="48"/>
      <c r="D38" s="1" t="s">
        <v>16</v>
      </c>
      <c r="E38" s="20">
        <f>47848.3-4198.28</f>
        <v>43650.020000000004</v>
      </c>
      <c r="F38" s="20">
        <f>89815.52</f>
        <v>89815.52</v>
      </c>
      <c r="G38" s="20">
        <f>53.03-53.03</f>
        <v>0</v>
      </c>
      <c r="H38" s="20"/>
      <c r="I38" s="20">
        <f>419.66</f>
        <v>419.66</v>
      </c>
      <c r="J38" s="20"/>
      <c r="K38" s="20"/>
      <c r="L38" s="20"/>
      <c r="M38" s="20"/>
      <c r="N38" s="20"/>
      <c r="O38" s="20">
        <f>443.08-443.08</f>
        <v>0</v>
      </c>
      <c r="P38" s="21">
        <f>SUM(E38:O38)</f>
        <v>133885.2</v>
      </c>
      <c r="Q38" s="26"/>
    </row>
    <row r="39" spans="1:17" ht="12.75" customHeight="1" thickBot="1">
      <c r="A39" s="7"/>
      <c r="B39" s="14"/>
      <c r="C39" s="48"/>
      <c r="D39" s="70" t="s">
        <v>20</v>
      </c>
      <c r="E39" s="37">
        <f aca="true" t="shared" si="8" ref="E39:O39">SUM(E36:E38)</f>
        <v>109697</v>
      </c>
      <c r="F39" s="37">
        <f t="shared" si="8"/>
        <v>299218.5</v>
      </c>
      <c r="G39" s="37">
        <f t="shared" si="8"/>
        <v>1447.57</v>
      </c>
      <c r="H39" s="37">
        <f t="shared" si="8"/>
        <v>0</v>
      </c>
      <c r="I39" s="37">
        <f t="shared" si="8"/>
        <v>10425.86</v>
      </c>
      <c r="J39" s="37">
        <f t="shared" si="8"/>
        <v>0</v>
      </c>
      <c r="K39" s="37">
        <f t="shared" si="8"/>
        <v>0</v>
      </c>
      <c r="L39" s="37">
        <f t="shared" si="8"/>
        <v>0</v>
      </c>
      <c r="M39" s="37">
        <f t="shared" si="8"/>
        <v>0</v>
      </c>
      <c r="N39" s="37">
        <f t="shared" si="8"/>
        <v>0</v>
      </c>
      <c r="O39" s="37">
        <f t="shared" si="8"/>
        <v>50534.58</v>
      </c>
      <c r="P39" s="38">
        <f>SUM(P36:P38)</f>
        <v>471323.51000000007</v>
      </c>
      <c r="Q39" s="26"/>
    </row>
    <row r="40" spans="1:17" ht="13.5" customHeight="1" thickBot="1">
      <c r="A40" s="8"/>
      <c r="B40" s="14"/>
      <c r="C40" s="72"/>
      <c r="D40" s="71" t="s">
        <v>37</v>
      </c>
      <c r="E40" s="67">
        <f aca="true" t="shared" si="9" ref="E40:O40">E27+E31+E35+E39</f>
        <v>351083.02</v>
      </c>
      <c r="F40" s="67">
        <f t="shared" si="9"/>
        <v>590225.74</v>
      </c>
      <c r="G40" s="67">
        <f t="shared" si="9"/>
        <v>3781.9700000000003</v>
      </c>
      <c r="H40" s="67">
        <f t="shared" si="9"/>
        <v>0</v>
      </c>
      <c r="I40" s="67">
        <f t="shared" si="9"/>
        <v>34470</v>
      </c>
      <c r="J40" s="67">
        <f t="shared" si="9"/>
        <v>0</v>
      </c>
      <c r="K40" s="67">
        <f t="shared" si="9"/>
        <v>0</v>
      </c>
      <c r="L40" s="67">
        <f t="shared" si="9"/>
        <v>0</v>
      </c>
      <c r="M40" s="67">
        <f t="shared" si="9"/>
        <v>0</v>
      </c>
      <c r="N40" s="67">
        <f t="shared" si="9"/>
        <v>0</v>
      </c>
      <c r="O40" s="67">
        <f t="shared" si="9"/>
        <v>276215.81</v>
      </c>
      <c r="P40" s="68">
        <f>P27+P31+P35+P39</f>
        <v>1255776.54</v>
      </c>
      <c r="Q40" s="26"/>
    </row>
    <row r="41" spans="1:17" ht="12.75">
      <c r="A41" s="9">
        <v>3</v>
      </c>
      <c r="B41" s="14" t="s">
        <v>46</v>
      </c>
      <c r="C41" s="47" t="s">
        <v>39</v>
      </c>
      <c r="D41" s="15" t="s">
        <v>5</v>
      </c>
      <c r="E41" s="18">
        <v>57555.01</v>
      </c>
      <c r="F41" s="18"/>
      <c r="G41" s="18"/>
      <c r="H41" s="18"/>
      <c r="I41" s="18"/>
      <c r="J41" s="18"/>
      <c r="K41" s="18"/>
      <c r="L41" s="18"/>
      <c r="M41" s="18"/>
      <c r="N41" s="18"/>
      <c r="O41" s="18">
        <v>53481.94</v>
      </c>
      <c r="P41" s="19">
        <f>SUM(E41:O41)</f>
        <v>111036.95000000001</v>
      </c>
      <c r="Q41" s="26"/>
    </row>
    <row r="42" spans="1:17" ht="12.75">
      <c r="A42" s="10"/>
      <c r="B42" s="14"/>
      <c r="C42" s="48"/>
      <c r="D42" s="1" t="s">
        <v>6</v>
      </c>
      <c r="E42" s="20">
        <v>15884.35</v>
      </c>
      <c r="F42" s="20"/>
      <c r="G42" s="18"/>
      <c r="H42" s="20"/>
      <c r="I42" s="20"/>
      <c r="J42" s="20"/>
      <c r="K42" s="20"/>
      <c r="L42" s="20"/>
      <c r="M42" s="20"/>
      <c r="N42" s="20"/>
      <c r="O42" s="20"/>
      <c r="P42" s="21">
        <f>SUM(E42:O42)</f>
        <v>15884.35</v>
      </c>
      <c r="Q42" s="26"/>
    </row>
    <row r="43" spans="1:17" ht="12.75">
      <c r="A43" s="10"/>
      <c r="B43" s="14"/>
      <c r="C43" s="48"/>
      <c r="D43" s="1" t="s">
        <v>7</v>
      </c>
      <c r="E43" s="20">
        <f>350000-57555.01-15884.35-136668.45</f>
        <v>139892.19</v>
      </c>
      <c r="F43" s="20"/>
      <c r="G43" s="18"/>
      <c r="H43" s="20"/>
      <c r="I43" s="20"/>
      <c r="J43" s="20"/>
      <c r="K43" s="20"/>
      <c r="L43" s="20"/>
      <c r="M43" s="20"/>
      <c r="N43" s="20"/>
      <c r="O43" s="20">
        <v>0</v>
      </c>
      <c r="P43" s="21">
        <f>SUM(E43:O43)</f>
        <v>139892.19</v>
      </c>
      <c r="Q43" s="26"/>
    </row>
    <row r="44" spans="1:17" ht="12.75">
      <c r="A44" s="10"/>
      <c r="B44" s="14"/>
      <c r="C44" s="48"/>
      <c r="D44" s="1" t="s">
        <v>17</v>
      </c>
      <c r="E44" s="22">
        <f aca="true" t="shared" si="10" ref="E44:O44">SUM(E41:E43)</f>
        <v>213331.55</v>
      </c>
      <c r="F44" s="22">
        <f t="shared" si="10"/>
        <v>0</v>
      </c>
      <c r="G44" s="22">
        <f t="shared" si="10"/>
        <v>0</v>
      </c>
      <c r="H44" s="22">
        <f t="shared" si="10"/>
        <v>0</v>
      </c>
      <c r="I44" s="22">
        <f t="shared" si="10"/>
        <v>0</v>
      </c>
      <c r="J44" s="22">
        <f t="shared" si="10"/>
        <v>0</v>
      </c>
      <c r="K44" s="22">
        <f t="shared" si="10"/>
        <v>0</v>
      </c>
      <c r="L44" s="22">
        <f t="shared" si="10"/>
        <v>0</v>
      </c>
      <c r="M44" s="22">
        <f t="shared" si="10"/>
        <v>0</v>
      </c>
      <c r="N44" s="22">
        <f t="shared" si="10"/>
        <v>0</v>
      </c>
      <c r="O44" s="22">
        <f t="shared" si="10"/>
        <v>53481.94</v>
      </c>
      <c r="P44" s="23">
        <f>SUM(P41:P43)</f>
        <v>266813.49</v>
      </c>
      <c r="Q44" s="26"/>
    </row>
    <row r="45" spans="1:17" ht="12.75">
      <c r="A45" s="10"/>
      <c r="B45" s="14"/>
      <c r="C45" s="48"/>
      <c r="D45" s="1" t="s">
        <v>8</v>
      </c>
      <c r="E45" s="20">
        <v>76947.91</v>
      </c>
      <c r="F45" s="20"/>
      <c r="G45" s="20">
        <v>139.03</v>
      </c>
      <c r="H45" s="20"/>
      <c r="I45" s="20"/>
      <c r="J45" s="20"/>
      <c r="K45" s="20"/>
      <c r="L45" s="20"/>
      <c r="M45" s="20"/>
      <c r="N45" s="20"/>
      <c r="O45" s="20">
        <f>53615+1518.06+24303.96</f>
        <v>79437.01999999999</v>
      </c>
      <c r="P45" s="21">
        <f>SUM(E45:O45)</f>
        <v>156523.96</v>
      </c>
      <c r="Q45" s="26"/>
    </row>
    <row r="46" spans="1:17" ht="12.75">
      <c r="A46" s="10"/>
      <c r="B46" s="14"/>
      <c r="C46" s="48"/>
      <c r="D46" s="1" t="s">
        <v>9</v>
      </c>
      <c r="E46" s="20">
        <v>205628.22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1">
        <f>SUM(E46:O46)</f>
        <v>205628.22</v>
      </c>
      <c r="Q46" s="26"/>
    </row>
    <row r="47" spans="1:17" ht="12.75">
      <c r="A47" s="10"/>
      <c r="B47" s="14"/>
      <c r="C47" s="48"/>
      <c r="D47" s="1" t="s">
        <v>10</v>
      </c>
      <c r="E47" s="20">
        <v>172610.87</v>
      </c>
      <c r="F47" s="20">
        <v>16314.84</v>
      </c>
      <c r="G47" s="20"/>
      <c r="H47" s="20"/>
      <c r="I47" s="20"/>
      <c r="J47" s="20"/>
      <c r="K47" s="20"/>
      <c r="L47" s="20"/>
      <c r="M47" s="20"/>
      <c r="N47" s="20"/>
      <c r="O47" s="20"/>
      <c r="P47" s="21">
        <f>SUM(E47:O47)</f>
        <v>188925.71</v>
      </c>
      <c r="Q47" s="26"/>
    </row>
    <row r="48" spans="1:17" ht="12.75">
      <c r="A48" s="10"/>
      <c r="B48" s="14"/>
      <c r="C48" s="48"/>
      <c r="D48" s="1" t="s">
        <v>18</v>
      </c>
      <c r="E48" s="22">
        <f aca="true" t="shared" si="11" ref="E48:O48">SUM(E45:E47)</f>
        <v>455187</v>
      </c>
      <c r="F48" s="22">
        <f t="shared" si="11"/>
        <v>16314.84</v>
      </c>
      <c r="G48" s="22">
        <f t="shared" si="11"/>
        <v>139.03</v>
      </c>
      <c r="H48" s="22">
        <f t="shared" si="11"/>
        <v>0</v>
      </c>
      <c r="I48" s="22">
        <f t="shared" si="11"/>
        <v>0</v>
      </c>
      <c r="J48" s="22">
        <f t="shared" si="11"/>
        <v>0</v>
      </c>
      <c r="K48" s="22">
        <f t="shared" si="11"/>
        <v>0</v>
      </c>
      <c r="L48" s="22">
        <f t="shared" si="11"/>
        <v>0</v>
      </c>
      <c r="M48" s="22">
        <f t="shared" si="11"/>
        <v>0</v>
      </c>
      <c r="N48" s="22">
        <f t="shared" si="11"/>
        <v>0</v>
      </c>
      <c r="O48" s="22">
        <f t="shared" si="11"/>
        <v>79437.01999999999</v>
      </c>
      <c r="P48" s="23">
        <f>SUM(P45:P47)</f>
        <v>551077.89</v>
      </c>
      <c r="Q48" s="26"/>
    </row>
    <row r="49" spans="1:17" ht="12.75">
      <c r="A49" s="10"/>
      <c r="B49" s="14"/>
      <c r="C49" s="48"/>
      <c r="D49" s="1" t="s">
        <v>11</v>
      </c>
      <c r="E49" s="20">
        <f>799686.45-478382.93</f>
        <v>321303.51999999996</v>
      </c>
      <c r="F49" s="20">
        <f>78685.16-13425.76</f>
        <v>65259.4</v>
      </c>
      <c r="G49" s="20"/>
      <c r="H49" s="20"/>
      <c r="I49" s="20"/>
      <c r="J49" s="20"/>
      <c r="K49" s="20"/>
      <c r="L49" s="20"/>
      <c r="M49" s="20"/>
      <c r="N49" s="20"/>
      <c r="O49" s="20">
        <f>70357-10063-24303.96-2760.3</f>
        <v>33229.74</v>
      </c>
      <c r="P49" s="21">
        <f>SUM(E49:O49)</f>
        <v>419792.66</v>
      </c>
      <c r="Q49" s="26"/>
    </row>
    <row r="50" spans="1:17" ht="12.75">
      <c r="A50" s="10"/>
      <c r="B50" s="14"/>
      <c r="C50" s="48"/>
      <c r="D50" s="1" t="s">
        <v>12</v>
      </c>
      <c r="E50" s="20">
        <f>478382.93-119952.97-320039.51</f>
        <v>38390.44999999995</v>
      </c>
      <c r="F50" s="20">
        <f>13425.76-13425.76</f>
        <v>0</v>
      </c>
      <c r="G50" s="20">
        <f>150+150+160.97-460.97</f>
        <v>0</v>
      </c>
      <c r="H50" s="20"/>
      <c r="I50" s="20"/>
      <c r="J50" s="20"/>
      <c r="K50" s="20"/>
      <c r="L50" s="20"/>
      <c r="M50" s="20"/>
      <c r="N50" s="20"/>
      <c r="O50" s="20">
        <f>2760.3-2760.3</f>
        <v>0</v>
      </c>
      <c r="P50" s="21">
        <f>SUM(E50:O50)</f>
        <v>38390.44999999995</v>
      </c>
      <c r="Q50" s="26"/>
    </row>
    <row r="51" spans="1:17" ht="12.75">
      <c r="A51" s="10"/>
      <c r="B51" s="14"/>
      <c r="C51" s="48"/>
      <c r="D51" s="1" t="s">
        <v>13</v>
      </c>
      <c r="E51" s="20">
        <v>218714.47</v>
      </c>
      <c r="F51" s="20">
        <f>16500+13425.76-1374.9</f>
        <v>28550.86</v>
      </c>
      <c r="G51" s="20">
        <f>460.97-460.97</f>
        <v>0</v>
      </c>
      <c r="H51" s="20"/>
      <c r="I51" s="20"/>
      <c r="J51" s="20"/>
      <c r="K51" s="20"/>
      <c r="L51" s="20"/>
      <c r="M51" s="20"/>
      <c r="N51" s="20"/>
      <c r="O51" s="20">
        <v>77536.06</v>
      </c>
      <c r="P51" s="21">
        <f>SUM(E51:O51)</f>
        <v>324801.39</v>
      </c>
      <c r="Q51" s="26"/>
    </row>
    <row r="52" spans="1:17" ht="12.75">
      <c r="A52" s="10"/>
      <c r="B52" s="14"/>
      <c r="C52" s="48"/>
      <c r="D52" s="1" t="s">
        <v>19</v>
      </c>
      <c r="E52" s="22">
        <f aca="true" t="shared" si="12" ref="E52:O52">SUM(E49:E51)</f>
        <v>578408.44</v>
      </c>
      <c r="F52" s="22">
        <f t="shared" si="12"/>
        <v>93810.26000000001</v>
      </c>
      <c r="G52" s="22">
        <f t="shared" si="12"/>
        <v>0</v>
      </c>
      <c r="H52" s="22">
        <f t="shared" si="12"/>
        <v>0</v>
      </c>
      <c r="I52" s="22">
        <f t="shared" si="12"/>
        <v>0</v>
      </c>
      <c r="J52" s="22">
        <f t="shared" si="12"/>
        <v>0</v>
      </c>
      <c r="K52" s="22">
        <f t="shared" si="12"/>
        <v>0</v>
      </c>
      <c r="L52" s="22">
        <f t="shared" si="12"/>
        <v>0</v>
      </c>
      <c r="M52" s="22">
        <f t="shared" si="12"/>
        <v>0</v>
      </c>
      <c r="N52" s="22">
        <f t="shared" si="12"/>
        <v>0</v>
      </c>
      <c r="O52" s="22">
        <f t="shared" si="12"/>
        <v>110765.79999999999</v>
      </c>
      <c r="P52" s="23">
        <f>SUM(P49:P51)</f>
        <v>782984.5</v>
      </c>
      <c r="Q52" s="26"/>
    </row>
    <row r="53" spans="1:17" ht="12.75">
      <c r="A53" s="10"/>
      <c r="B53" s="14"/>
      <c r="C53" s="48"/>
      <c r="D53" s="1" t="s">
        <v>14</v>
      </c>
      <c r="E53" s="20">
        <f>155813.36-147664.52</f>
        <v>8148.8399999999965</v>
      </c>
      <c r="F53" s="20">
        <f>96374.9-63745.2</f>
        <v>32629.699999999997</v>
      </c>
      <c r="G53" s="20">
        <f>150-150+460.97-460.97</f>
        <v>0</v>
      </c>
      <c r="H53" s="20"/>
      <c r="I53" s="20"/>
      <c r="J53" s="20"/>
      <c r="K53" s="20"/>
      <c r="L53" s="20"/>
      <c r="M53" s="20"/>
      <c r="N53" s="20"/>
      <c r="O53" s="20">
        <f>60000+224.24-60224.24</f>
        <v>0</v>
      </c>
      <c r="P53" s="21">
        <f>SUM(E53:O53)</f>
        <v>40778.53999999999</v>
      </c>
      <c r="Q53" s="26"/>
    </row>
    <row r="54" spans="1:17" ht="12.75">
      <c r="A54" s="10"/>
      <c r="B54" s="14"/>
      <c r="C54" s="48"/>
      <c r="D54" s="1" t="s">
        <v>15</v>
      </c>
      <c r="E54" s="20">
        <f>-65215.97+147664.52+165230-117442.82</f>
        <v>130235.72999999998</v>
      </c>
      <c r="F54" s="20">
        <f>63745.2-1204.87</f>
        <v>62540.329999999994</v>
      </c>
      <c r="G54" s="20">
        <f>460.97-4.74</f>
        <v>456.23</v>
      </c>
      <c r="H54" s="20"/>
      <c r="I54" s="20"/>
      <c r="J54" s="20"/>
      <c r="K54" s="20"/>
      <c r="L54" s="20"/>
      <c r="M54" s="20"/>
      <c r="N54" s="20"/>
      <c r="O54" s="20">
        <f>61499.98-1275.74</f>
        <v>60224.240000000005</v>
      </c>
      <c r="P54" s="21">
        <f>SUM(E54:O54)</f>
        <v>253456.52999999997</v>
      </c>
      <c r="Q54" s="26"/>
    </row>
    <row r="55" spans="1:17" ht="12.75">
      <c r="A55" s="10"/>
      <c r="B55" s="14"/>
      <c r="C55" s="48"/>
      <c r="D55" s="1" t="s">
        <v>16</v>
      </c>
      <c r="E55" s="20">
        <f>117442.82-4142.24</f>
        <v>113300.58</v>
      </c>
      <c r="F55" s="20">
        <f>1204.87</f>
        <v>1204.87</v>
      </c>
      <c r="G55" s="20">
        <f>4.74-4.74</f>
        <v>0</v>
      </c>
      <c r="H55" s="20"/>
      <c r="I55" s="20"/>
      <c r="J55" s="20"/>
      <c r="K55" s="20"/>
      <c r="L55" s="20"/>
      <c r="M55" s="20"/>
      <c r="N55" s="20"/>
      <c r="O55" s="20">
        <f>458.19</f>
        <v>458.19</v>
      </c>
      <c r="P55" s="21">
        <f>SUM(E55:O55)</f>
        <v>114963.64</v>
      </c>
      <c r="Q55" s="26"/>
    </row>
    <row r="56" spans="1:17" ht="13.5" thickBot="1">
      <c r="A56" s="10"/>
      <c r="B56" s="14"/>
      <c r="C56" s="48"/>
      <c r="D56" s="70" t="s">
        <v>20</v>
      </c>
      <c r="E56" s="37">
        <f aca="true" t="shared" si="13" ref="E56:O56">SUM(E53:E55)</f>
        <v>251685.14999999997</v>
      </c>
      <c r="F56" s="37">
        <f t="shared" si="13"/>
        <v>96374.9</v>
      </c>
      <c r="G56" s="37">
        <f t="shared" si="13"/>
        <v>456.23</v>
      </c>
      <c r="H56" s="37">
        <f t="shared" si="13"/>
        <v>0</v>
      </c>
      <c r="I56" s="37">
        <f t="shared" si="13"/>
        <v>0</v>
      </c>
      <c r="J56" s="37">
        <f t="shared" si="13"/>
        <v>0</v>
      </c>
      <c r="K56" s="37">
        <f t="shared" si="13"/>
        <v>0</v>
      </c>
      <c r="L56" s="37">
        <f t="shared" si="13"/>
        <v>0</v>
      </c>
      <c r="M56" s="37">
        <f t="shared" si="13"/>
        <v>0</v>
      </c>
      <c r="N56" s="37">
        <f t="shared" si="13"/>
        <v>0</v>
      </c>
      <c r="O56" s="37">
        <f t="shared" si="13"/>
        <v>60682.43000000001</v>
      </c>
      <c r="P56" s="38">
        <f>SUM(P53:P55)</f>
        <v>409198.70999999996</v>
      </c>
      <c r="Q56" s="26"/>
    </row>
    <row r="57" spans="1:17" ht="13.5" thickBot="1">
      <c r="A57" s="10"/>
      <c r="B57" s="14"/>
      <c r="C57" s="72"/>
      <c r="D57" s="71" t="s">
        <v>37</v>
      </c>
      <c r="E57" s="67">
        <f aca="true" t="shared" si="14" ref="E57:O57">E44+E48+E52+E56</f>
        <v>1498612.14</v>
      </c>
      <c r="F57" s="67">
        <f t="shared" si="14"/>
        <v>206500</v>
      </c>
      <c r="G57" s="67">
        <f t="shared" si="14"/>
        <v>595.26</v>
      </c>
      <c r="H57" s="67">
        <f t="shared" si="14"/>
        <v>0</v>
      </c>
      <c r="I57" s="67">
        <f t="shared" si="14"/>
        <v>0</v>
      </c>
      <c r="J57" s="67">
        <f t="shared" si="14"/>
        <v>0</v>
      </c>
      <c r="K57" s="67">
        <f t="shared" si="14"/>
        <v>0</v>
      </c>
      <c r="L57" s="67">
        <f t="shared" si="14"/>
        <v>0</v>
      </c>
      <c r="M57" s="67">
        <f t="shared" si="14"/>
        <v>0</v>
      </c>
      <c r="N57" s="67">
        <f t="shared" si="14"/>
        <v>0</v>
      </c>
      <c r="O57" s="67">
        <f t="shared" si="14"/>
        <v>304367.19</v>
      </c>
      <c r="P57" s="68">
        <f>P44+P48+P52+P56</f>
        <v>2010074.5899999999</v>
      </c>
      <c r="Q57" s="26"/>
    </row>
    <row r="58" spans="1:17" ht="12.75">
      <c r="A58" s="10">
        <v>4</v>
      </c>
      <c r="B58" s="14" t="s">
        <v>47</v>
      </c>
      <c r="C58" s="47" t="s">
        <v>42</v>
      </c>
      <c r="D58" s="15" t="s">
        <v>5</v>
      </c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5">
        <f>SUM(E58:O58)</f>
        <v>0</v>
      </c>
      <c r="Q58" s="26"/>
    </row>
    <row r="59" spans="1:17" ht="12.75">
      <c r="A59" s="10"/>
      <c r="B59" s="14"/>
      <c r="C59" s="48"/>
      <c r="D59" s="1" t="s">
        <v>6</v>
      </c>
      <c r="E59" s="20">
        <v>22272.22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1">
        <f>SUM(E59:O59)</f>
        <v>22272.22</v>
      </c>
      <c r="Q59" s="26"/>
    </row>
    <row r="60" spans="1:17" ht="12.75">
      <c r="A60" s="10"/>
      <c r="B60" s="14"/>
      <c r="C60" s="48"/>
      <c r="D60" s="1" t="s">
        <v>7</v>
      </c>
      <c r="E60" s="20">
        <f>127727.78-77663.98</f>
        <v>50063.8</v>
      </c>
      <c r="F60" s="20">
        <f>33090.22-33090.22</f>
        <v>0</v>
      </c>
      <c r="G60" s="20"/>
      <c r="H60" s="20"/>
      <c r="I60" s="20"/>
      <c r="J60" s="20"/>
      <c r="K60" s="20"/>
      <c r="L60" s="20"/>
      <c r="M60" s="20"/>
      <c r="N60" s="20"/>
      <c r="O60" s="20">
        <v>0</v>
      </c>
      <c r="P60" s="21">
        <f>SUM(E60:O60)</f>
        <v>50063.8</v>
      </c>
      <c r="Q60" s="26"/>
    </row>
    <row r="61" spans="1:17" ht="12.75">
      <c r="A61" s="10"/>
      <c r="B61" s="14"/>
      <c r="C61" s="48"/>
      <c r="D61" s="1" t="s">
        <v>17</v>
      </c>
      <c r="E61" s="22">
        <f aca="true" t="shared" si="15" ref="E61:O61">SUM(E58:E60)</f>
        <v>72336.02</v>
      </c>
      <c r="F61" s="22">
        <f t="shared" si="15"/>
        <v>0</v>
      </c>
      <c r="G61" s="22">
        <f t="shared" si="15"/>
        <v>0</v>
      </c>
      <c r="H61" s="22">
        <f t="shared" si="15"/>
        <v>0</v>
      </c>
      <c r="I61" s="22">
        <f t="shared" si="15"/>
        <v>0</v>
      </c>
      <c r="J61" s="22">
        <f t="shared" si="15"/>
        <v>0</v>
      </c>
      <c r="K61" s="22">
        <f t="shared" si="15"/>
        <v>0</v>
      </c>
      <c r="L61" s="22">
        <f t="shared" si="15"/>
        <v>0</v>
      </c>
      <c r="M61" s="22">
        <f t="shared" si="15"/>
        <v>0</v>
      </c>
      <c r="N61" s="22">
        <f t="shared" si="15"/>
        <v>0</v>
      </c>
      <c r="O61" s="22">
        <f t="shared" si="15"/>
        <v>0</v>
      </c>
      <c r="P61" s="23">
        <f>SUM(P58:P60)</f>
        <v>72336.02</v>
      </c>
      <c r="Q61" s="26"/>
    </row>
    <row r="62" spans="1:17" ht="12.75">
      <c r="A62" s="10"/>
      <c r="B62" s="14"/>
      <c r="C62" s="48"/>
      <c r="D62" s="1" t="s">
        <v>8</v>
      </c>
      <c r="E62" s="20">
        <v>94419.32</v>
      </c>
      <c r="F62" s="20">
        <f>33090.22+66180.44</f>
        <v>99270.66</v>
      </c>
      <c r="G62" s="20"/>
      <c r="H62" s="20"/>
      <c r="I62" s="20"/>
      <c r="J62" s="20"/>
      <c r="K62" s="20"/>
      <c r="L62" s="20"/>
      <c r="M62" s="20"/>
      <c r="N62" s="20"/>
      <c r="O62" s="20"/>
      <c r="P62" s="21">
        <f>SUM(E62:O62)</f>
        <v>193689.98</v>
      </c>
      <c r="Q62" s="26"/>
    </row>
    <row r="63" spans="1:17" ht="12.75">
      <c r="A63" s="10"/>
      <c r="B63" s="14"/>
      <c r="C63" s="48"/>
      <c r="D63" s="1" t="s">
        <v>9</v>
      </c>
      <c r="E63" s="20">
        <v>97329.56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1">
        <f>SUM(E63:O63)</f>
        <v>97329.56</v>
      </c>
      <c r="Q63" s="26"/>
    </row>
    <row r="64" spans="1:17" ht="12.75">
      <c r="A64" s="10"/>
      <c r="B64" s="14"/>
      <c r="C64" s="48"/>
      <c r="D64" s="1" t="s">
        <v>10</v>
      </c>
      <c r="E64" s="20">
        <v>143407.96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1">
        <f>SUM(E64:O64)</f>
        <v>143407.96</v>
      </c>
      <c r="Q64" s="26"/>
    </row>
    <row r="65" spans="1:17" ht="12.75">
      <c r="A65" s="10"/>
      <c r="B65" s="14"/>
      <c r="C65" s="48"/>
      <c r="D65" s="1" t="s">
        <v>18</v>
      </c>
      <c r="E65" s="22">
        <f aca="true" t="shared" si="16" ref="E65:O65">SUM(E62:E64)</f>
        <v>335156.83999999997</v>
      </c>
      <c r="F65" s="22">
        <f t="shared" si="16"/>
        <v>99270.66</v>
      </c>
      <c r="G65" s="22">
        <f t="shared" si="16"/>
        <v>0</v>
      </c>
      <c r="H65" s="22">
        <f t="shared" si="16"/>
        <v>0</v>
      </c>
      <c r="I65" s="22">
        <f t="shared" si="16"/>
        <v>0</v>
      </c>
      <c r="J65" s="22">
        <f t="shared" si="16"/>
        <v>0</v>
      </c>
      <c r="K65" s="22">
        <f t="shared" si="16"/>
        <v>0</v>
      </c>
      <c r="L65" s="22">
        <f t="shared" si="16"/>
        <v>0</v>
      </c>
      <c r="M65" s="22">
        <f t="shared" si="16"/>
        <v>0</v>
      </c>
      <c r="N65" s="22">
        <f t="shared" si="16"/>
        <v>0</v>
      </c>
      <c r="O65" s="22">
        <f t="shared" si="16"/>
        <v>0</v>
      </c>
      <c r="P65" s="23">
        <f>SUM(P62:P64)</f>
        <v>434427.5</v>
      </c>
      <c r="Q65" s="26"/>
    </row>
    <row r="66" spans="1:17" ht="12.75">
      <c r="A66" s="10"/>
      <c r="B66" s="14"/>
      <c r="C66" s="48"/>
      <c r="D66" s="1" t="s">
        <v>11</v>
      </c>
      <c r="E66" s="20">
        <f>22492.14+100000-51946.47</f>
        <v>70545.67</v>
      </c>
      <c r="F66" s="20">
        <f>53000-53000</f>
        <v>0</v>
      </c>
      <c r="G66" s="20"/>
      <c r="H66" s="20"/>
      <c r="I66" s="20"/>
      <c r="J66" s="20"/>
      <c r="K66" s="20"/>
      <c r="L66" s="20"/>
      <c r="M66" s="20"/>
      <c r="N66" s="20"/>
      <c r="O66" s="20"/>
      <c r="P66" s="21">
        <f>SUM(E66:O66)</f>
        <v>70545.67</v>
      </c>
      <c r="Q66" s="26"/>
    </row>
    <row r="67" spans="1:17" ht="12.75">
      <c r="A67" s="10"/>
      <c r="B67" s="14"/>
      <c r="C67" s="48"/>
      <c r="D67" s="1" t="s">
        <v>12</v>
      </c>
      <c r="E67" s="20">
        <f>157362+51946.47-98114.99</f>
        <v>111193.48</v>
      </c>
      <c r="F67" s="20">
        <f>53000-53000</f>
        <v>0</v>
      </c>
      <c r="G67" s="20"/>
      <c r="H67" s="20"/>
      <c r="I67" s="20"/>
      <c r="J67" s="20"/>
      <c r="K67" s="20"/>
      <c r="L67" s="20"/>
      <c r="M67" s="20"/>
      <c r="N67" s="20"/>
      <c r="O67" s="20"/>
      <c r="P67" s="21">
        <f>SUM(E67:O67)</f>
        <v>111193.48</v>
      </c>
      <c r="Q67" s="26"/>
    </row>
    <row r="68" spans="1:17" ht="12.75">
      <c r="A68" s="10"/>
      <c r="B68" s="14"/>
      <c r="C68" s="48"/>
      <c r="D68" s="1" t="s">
        <v>13</v>
      </c>
      <c r="E68" s="20">
        <v>145510.67</v>
      </c>
      <c r="F68" s="20">
        <f>-16500-20500+53000-1891.98</f>
        <v>14108.02</v>
      </c>
      <c r="G68" s="20"/>
      <c r="H68" s="20"/>
      <c r="I68" s="20"/>
      <c r="J68" s="20"/>
      <c r="K68" s="20"/>
      <c r="L68" s="20"/>
      <c r="M68" s="20"/>
      <c r="N68" s="20"/>
      <c r="O68" s="20"/>
      <c r="P68" s="21">
        <f>SUM(E68:O68)</f>
        <v>159618.69</v>
      </c>
      <c r="Q68" s="26"/>
    </row>
    <row r="69" spans="1:17" ht="12.75">
      <c r="A69" s="10"/>
      <c r="B69" s="14"/>
      <c r="C69" s="48"/>
      <c r="D69" s="1" t="s">
        <v>19</v>
      </c>
      <c r="E69" s="22">
        <f aca="true" t="shared" si="17" ref="E69:O69">SUM(E66:E68)</f>
        <v>327249.82</v>
      </c>
      <c r="F69" s="22">
        <f t="shared" si="17"/>
        <v>14108.02</v>
      </c>
      <c r="G69" s="22">
        <f t="shared" si="17"/>
        <v>0</v>
      </c>
      <c r="H69" s="22">
        <f t="shared" si="17"/>
        <v>0</v>
      </c>
      <c r="I69" s="22">
        <f t="shared" si="17"/>
        <v>0</v>
      </c>
      <c r="J69" s="22">
        <f t="shared" si="17"/>
        <v>0</v>
      </c>
      <c r="K69" s="22">
        <f t="shared" si="17"/>
        <v>0</v>
      </c>
      <c r="L69" s="22">
        <f t="shared" si="17"/>
        <v>0</v>
      </c>
      <c r="M69" s="22">
        <f t="shared" si="17"/>
        <v>0</v>
      </c>
      <c r="N69" s="22">
        <f t="shared" si="17"/>
        <v>0</v>
      </c>
      <c r="O69" s="22">
        <f t="shared" si="17"/>
        <v>0</v>
      </c>
      <c r="P69" s="23">
        <f>SUM(P66:P68)</f>
        <v>341357.83999999997</v>
      </c>
      <c r="Q69" s="26"/>
    </row>
    <row r="70" spans="1:17" ht="12.75">
      <c r="A70" s="10"/>
      <c r="B70" s="14"/>
      <c r="C70" s="48"/>
      <c r="D70" s="1" t="s">
        <v>14</v>
      </c>
      <c r="E70" s="20">
        <f>130000-50654.33</f>
        <v>79345.67</v>
      </c>
      <c r="F70" s="20">
        <f>62391.98+158400-192575.93</f>
        <v>28216.050000000017</v>
      </c>
      <c r="G70" s="20"/>
      <c r="H70" s="20"/>
      <c r="I70" s="20"/>
      <c r="J70" s="20"/>
      <c r="K70" s="20"/>
      <c r="L70" s="20"/>
      <c r="M70" s="20"/>
      <c r="N70" s="20"/>
      <c r="O70" s="20"/>
      <c r="P70" s="21">
        <f>SUM(E70:O70)</f>
        <v>107561.72000000002</v>
      </c>
      <c r="Q70" s="26"/>
    </row>
    <row r="71" spans="1:17" ht="12.75">
      <c r="A71" s="10"/>
      <c r="B71" s="14"/>
      <c r="C71" s="48"/>
      <c r="D71" s="1" t="s">
        <v>15</v>
      </c>
      <c r="E71" s="20">
        <f>-40203.47+50654.33+179560-95698.6</f>
        <v>94312.25999999998</v>
      </c>
      <c r="F71" s="20">
        <f>192575.93-52575.93-23251.52</f>
        <v>116748.48</v>
      </c>
      <c r="G71" s="20"/>
      <c r="H71" s="20"/>
      <c r="I71" s="20"/>
      <c r="J71" s="20"/>
      <c r="K71" s="20"/>
      <c r="L71" s="20"/>
      <c r="M71" s="20"/>
      <c r="N71" s="20"/>
      <c r="O71" s="20"/>
      <c r="P71" s="21">
        <f>SUM(E71:O71)</f>
        <v>211060.74</v>
      </c>
      <c r="Q71" s="26"/>
    </row>
    <row r="72" spans="1:17" ht="12.75">
      <c r="A72" s="10"/>
      <c r="B72" s="14"/>
      <c r="C72" s="48"/>
      <c r="D72" s="1" t="s">
        <v>16</v>
      </c>
      <c r="E72" s="20">
        <f>95698.6+141231.78</f>
        <v>236930.38</v>
      </c>
      <c r="F72" s="20">
        <f>40030+23251.52</f>
        <v>63281.520000000004</v>
      </c>
      <c r="G72" s="20"/>
      <c r="H72" s="20"/>
      <c r="I72" s="20"/>
      <c r="J72" s="20"/>
      <c r="K72" s="20"/>
      <c r="L72" s="20"/>
      <c r="M72" s="20"/>
      <c r="N72" s="20"/>
      <c r="O72" s="20"/>
      <c r="P72" s="21">
        <f>SUM(E72:O72)</f>
        <v>300211.9</v>
      </c>
      <c r="Q72" s="26"/>
    </row>
    <row r="73" spans="1:17" ht="13.5" thickBot="1">
      <c r="A73" s="10"/>
      <c r="B73" s="14"/>
      <c r="C73" s="48"/>
      <c r="D73" s="70" t="s">
        <v>20</v>
      </c>
      <c r="E73" s="37">
        <f aca="true" t="shared" si="18" ref="E73:O73">SUM(E70:E72)</f>
        <v>410588.31</v>
      </c>
      <c r="F73" s="37">
        <f t="shared" si="18"/>
        <v>208246.05000000005</v>
      </c>
      <c r="G73" s="37">
        <f t="shared" si="18"/>
        <v>0</v>
      </c>
      <c r="H73" s="37">
        <f t="shared" si="18"/>
        <v>0</v>
      </c>
      <c r="I73" s="37">
        <f t="shared" si="18"/>
        <v>0</v>
      </c>
      <c r="J73" s="37">
        <f t="shared" si="18"/>
        <v>0</v>
      </c>
      <c r="K73" s="37">
        <f t="shared" si="18"/>
        <v>0</v>
      </c>
      <c r="L73" s="37">
        <f t="shared" si="18"/>
        <v>0</v>
      </c>
      <c r="M73" s="37">
        <f t="shared" si="18"/>
        <v>0</v>
      </c>
      <c r="N73" s="37">
        <f t="shared" si="18"/>
        <v>0</v>
      </c>
      <c r="O73" s="37">
        <f t="shared" si="18"/>
        <v>0</v>
      </c>
      <c r="P73" s="38">
        <f>SUM(P70:P72)</f>
        <v>618834.3600000001</v>
      </c>
      <c r="Q73" s="26"/>
    </row>
    <row r="74" spans="1:17" ht="13.5" thickBot="1">
      <c r="A74" s="10"/>
      <c r="B74" s="14"/>
      <c r="C74" s="72"/>
      <c r="D74" s="71" t="s">
        <v>37</v>
      </c>
      <c r="E74" s="67">
        <f aca="true" t="shared" si="19" ref="E74:O74">E61+E65+E69+E73</f>
        <v>1145330.99</v>
      </c>
      <c r="F74" s="67">
        <f t="shared" si="19"/>
        <v>321624.73000000004</v>
      </c>
      <c r="G74" s="67">
        <f t="shared" si="19"/>
        <v>0</v>
      </c>
      <c r="H74" s="67">
        <f t="shared" si="19"/>
        <v>0</v>
      </c>
      <c r="I74" s="67">
        <f t="shared" si="19"/>
        <v>0</v>
      </c>
      <c r="J74" s="67">
        <f t="shared" si="19"/>
        <v>0</v>
      </c>
      <c r="K74" s="67">
        <f t="shared" si="19"/>
        <v>0</v>
      </c>
      <c r="L74" s="67">
        <f t="shared" si="19"/>
        <v>0</v>
      </c>
      <c r="M74" s="67">
        <f t="shared" si="19"/>
        <v>0</v>
      </c>
      <c r="N74" s="67">
        <f t="shared" si="19"/>
        <v>0</v>
      </c>
      <c r="O74" s="67">
        <f t="shared" si="19"/>
        <v>0</v>
      </c>
      <c r="P74" s="68">
        <f>P61+P65+P69+P73</f>
        <v>1466955.7200000002</v>
      </c>
      <c r="Q74" s="26"/>
    </row>
    <row r="75" spans="1:17" ht="12.75">
      <c r="A75" s="10">
        <v>5</v>
      </c>
      <c r="B75" s="14" t="s">
        <v>48</v>
      </c>
      <c r="C75" s="47" t="s">
        <v>43</v>
      </c>
      <c r="D75" s="15" t="s">
        <v>5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7">
        <f>SUM(E75:O75)</f>
        <v>0</v>
      </c>
      <c r="Q75" s="26"/>
    </row>
    <row r="76" spans="1:17" ht="12.75">
      <c r="A76" s="10"/>
      <c r="B76" s="14"/>
      <c r="C76" s="48"/>
      <c r="D76" s="1" t="s">
        <v>6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3">
        <f>SUM(E76:O76)</f>
        <v>0</v>
      </c>
      <c r="Q76" s="26"/>
    </row>
    <row r="77" spans="1:17" ht="12.75">
      <c r="A77" s="10"/>
      <c r="B77" s="14"/>
      <c r="C77" s="48"/>
      <c r="D77" s="1" t="s">
        <v>7</v>
      </c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>
        <v>0</v>
      </c>
      <c r="P77" s="23">
        <f>SUM(E77:O77)</f>
        <v>0</v>
      </c>
      <c r="Q77" s="26"/>
    </row>
    <row r="78" spans="1:17" ht="12.75">
      <c r="A78" s="10"/>
      <c r="B78" s="14"/>
      <c r="C78" s="48"/>
      <c r="D78" s="1" t="s">
        <v>17</v>
      </c>
      <c r="E78" s="22">
        <f aca="true" t="shared" si="20" ref="E78:O78">SUM(E75:E77)</f>
        <v>0</v>
      </c>
      <c r="F78" s="22">
        <f t="shared" si="20"/>
        <v>0</v>
      </c>
      <c r="G78" s="22">
        <f t="shared" si="20"/>
        <v>0</v>
      </c>
      <c r="H78" s="22">
        <f t="shared" si="20"/>
        <v>0</v>
      </c>
      <c r="I78" s="22">
        <f t="shared" si="20"/>
        <v>0</v>
      </c>
      <c r="J78" s="22">
        <f t="shared" si="20"/>
        <v>0</v>
      </c>
      <c r="K78" s="22">
        <f t="shared" si="20"/>
        <v>0</v>
      </c>
      <c r="L78" s="22">
        <f t="shared" si="20"/>
        <v>0</v>
      </c>
      <c r="M78" s="22">
        <f t="shared" si="20"/>
        <v>0</v>
      </c>
      <c r="N78" s="22">
        <f t="shared" si="20"/>
        <v>0</v>
      </c>
      <c r="O78" s="22">
        <f t="shared" si="20"/>
        <v>0</v>
      </c>
      <c r="P78" s="23">
        <f>SUM(P75:P77)</f>
        <v>0</v>
      </c>
      <c r="Q78" s="26"/>
    </row>
    <row r="79" spans="1:17" ht="12.75">
      <c r="A79" s="10"/>
      <c r="B79" s="14"/>
      <c r="C79" s="48"/>
      <c r="D79" s="1" t="s">
        <v>8</v>
      </c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3">
        <f>SUM(E79:O79)</f>
        <v>0</v>
      </c>
      <c r="Q79" s="26"/>
    </row>
    <row r="80" spans="1:17" ht="12.75">
      <c r="A80" s="10"/>
      <c r="B80" s="14"/>
      <c r="C80" s="48"/>
      <c r="D80" s="1" t="s">
        <v>9</v>
      </c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3">
        <f>SUM(E80:O80)</f>
        <v>0</v>
      </c>
      <c r="Q80" s="26"/>
    </row>
    <row r="81" spans="1:17" ht="12.75">
      <c r="A81" s="10"/>
      <c r="B81" s="14"/>
      <c r="C81" s="48"/>
      <c r="D81" s="1" t="s">
        <v>10</v>
      </c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3">
        <f>SUM(E81:O81)</f>
        <v>0</v>
      </c>
      <c r="Q81" s="26"/>
    </row>
    <row r="82" spans="1:17" ht="12.75">
      <c r="A82" s="10"/>
      <c r="B82" s="14"/>
      <c r="C82" s="48"/>
      <c r="D82" s="1" t="s">
        <v>18</v>
      </c>
      <c r="E82" s="22">
        <f aca="true" t="shared" si="21" ref="E82:O82">SUM(E79:E81)</f>
        <v>0</v>
      </c>
      <c r="F82" s="22">
        <f t="shared" si="21"/>
        <v>0</v>
      </c>
      <c r="G82" s="22">
        <f t="shared" si="21"/>
        <v>0</v>
      </c>
      <c r="H82" s="22">
        <f t="shared" si="21"/>
        <v>0</v>
      </c>
      <c r="I82" s="22">
        <f t="shared" si="21"/>
        <v>0</v>
      </c>
      <c r="J82" s="22">
        <f t="shared" si="21"/>
        <v>0</v>
      </c>
      <c r="K82" s="22">
        <f t="shared" si="21"/>
        <v>0</v>
      </c>
      <c r="L82" s="22">
        <f t="shared" si="21"/>
        <v>0</v>
      </c>
      <c r="M82" s="22">
        <f t="shared" si="21"/>
        <v>0</v>
      </c>
      <c r="N82" s="22">
        <f t="shared" si="21"/>
        <v>0</v>
      </c>
      <c r="O82" s="22">
        <f t="shared" si="21"/>
        <v>0</v>
      </c>
      <c r="P82" s="23">
        <f>SUM(P79:P81)</f>
        <v>0</v>
      </c>
      <c r="Q82" s="26"/>
    </row>
    <row r="83" spans="1:17" ht="12.75">
      <c r="A83" s="10"/>
      <c r="B83" s="14"/>
      <c r="C83" s="48"/>
      <c r="D83" s="1" t="s">
        <v>11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3">
        <f>SUM(E83:O83)</f>
        <v>0</v>
      </c>
      <c r="Q83" s="26"/>
    </row>
    <row r="84" spans="1:17" ht="12.75">
      <c r="A84" s="10"/>
      <c r="B84" s="14"/>
      <c r="C84" s="48"/>
      <c r="D84" s="1" t="s">
        <v>12</v>
      </c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3">
        <f>SUM(E84:O84)</f>
        <v>0</v>
      </c>
      <c r="Q84" s="26"/>
    </row>
    <row r="85" spans="1:17" ht="12.75">
      <c r="A85" s="10"/>
      <c r="B85" s="14"/>
      <c r="C85" s="48"/>
      <c r="D85" s="1" t="s">
        <v>13</v>
      </c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3">
        <f>SUM(E85:O85)</f>
        <v>0</v>
      </c>
      <c r="Q85" s="26"/>
    </row>
    <row r="86" spans="1:17" ht="12.75">
      <c r="A86" s="10"/>
      <c r="B86" s="14"/>
      <c r="C86" s="48"/>
      <c r="D86" s="1" t="s">
        <v>19</v>
      </c>
      <c r="E86" s="22">
        <f aca="true" t="shared" si="22" ref="E86:O86">SUM(E83:E85)</f>
        <v>0</v>
      </c>
      <c r="F86" s="22">
        <f t="shared" si="22"/>
        <v>0</v>
      </c>
      <c r="G86" s="22">
        <f t="shared" si="22"/>
        <v>0</v>
      </c>
      <c r="H86" s="22">
        <f t="shared" si="22"/>
        <v>0</v>
      </c>
      <c r="I86" s="22">
        <f t="shared" si="22"/>
        <v>0</v>
      </c>
      <c r="J86" s="22">
        <f t="shared" si="22"/>
        <v>0</v>
      </c>
      <c r="K86" s="22">
        <f t="shared" si="22"/>
        <v>0</v>
      </c>
      <c r="L86" s="22">
        <f t="shared" si="22"/>
        <v>0</v>
      </c>
      <c r="M86" s="22">
        <f t="shared" si="22"/>
        <v>0</v>
      </c>
      <c r="N86" s="22">
        <f t="shared" si="22"/>
        <v>0</v>
      </c>
      <c r="O86" s="22">
        <f t="shared" si="22"/>
        <v>0</v>
      </c>
      <c r="P86" s="23">
        <f>SUM(P83:P85)</f>
        <v>0</v>
      </c>
      <c r="Q86" s="26"/>
    </row>
    <row r="87" spans="1:17" ht="12.75">
      <c r="A87" s="10"/>
      <c r="B87" s="14"/>
      <c r="C87" s="48"/>
      <c r="D87" s="1" t="s">
        <v>14</v>
      </c>
      <c r="E87" s="20"/>
      <c r="F87" s="20"/>
      <c r="G87" s="20">
        <f>150-150</f>
        <v>0</v>
      </c>
      <c r="H87" s="20"/>
      <c r="I87" s="20"/>
      <c r="J87" s="20"/>
      <c r="K87" s="20"/>
      <c r="L87" s="20"/>
      <c r="M87" s="20"/>
      <c r="N87" s="20"/>
      <c r="O87" s="20"/>
      <c r="P87" s="23">
        <f>SUM(E87:O87)</f>
        <v>0</v>
      </c>
      <c r="Q87" s="26"/>
    </row>
    <row r="88" spans="1:17" ht="12.75">
      <c r="A88" s="10"/>
      <c r="B88" s="14"/>
      <c r="C88" s="48"/>
      <c r="D88" s="1" t="s">
        <v>15</v>
      </c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3">
        <f>SUM(E88:O88)</f>
        <v>0</v>
      </c>
      <c r="Q88" s="26"/>
    </row>
    <row r="89" spans="1:17" ht="12.75">
      <c r="A89" s="10"/>
      <c r="B89" s="14"/>
      <c r="C89" s="48"/>
      <c r="D89" s="1" t="s">
        <v>16</v>
      </c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3">
        <f>SUM(E89:O89)</f>
        <v>0</v>
      </c>
      <c r="Q89" s="26"/>
    </row>
    <row r="90" spans="1:17" ht="13.5" thickBot="1">
      <c r="A90" s="10"/>
      <c r="B90" s="14"/>
      <c r="C90" s="48"/>
      <c r="D90" s="70" t="s">
        <v>20</v>
      </c>
      <c r="E90" s="37">
        <f aca="true" t="shared" si="23" ref="E90:O90">SUM(E87:E89)</f>
        <v>0</v>
      </c>
      <c r="F90" s="37">
        <f t="shared" si="23"/>
        <v>0</v>
      </c>
      <c r="G90" s="37">
        <f t="shared" si="23"/>
        <v>0</v>
      </c>
      <c r="H90" s="37">
        <f t="shared" si="23"/>
        <v>0</v>
      </c>
      <c r="I90" s="37">
        <f t="shared" si="23"/>
        <v>0</v>
      </c>
      <c r="J90" s="37">
        <f t="shared" si="23"/>
        <v>0</v>
      </c>
      <c r="K90" s="37">
        <f t="shared" si="23"/>
        <v>0</v>
      </c>
      <c r="L90" s="37">
        <f t="shared" si="23"/>
        <v>0</v>
      </c>
      <c r="M90" s="37">
        <f t="shared" si="23"/>
        <v>0</v>
      </c>
      <c r="N90" s="37">
        <f t="shared" si="23"/>
        <v>0</v>
      </c>
      <c r="O90" s="37">
        <f t="shared" si="23"/>
        <v>0</v>
      </c>
      <c r="P90" s="38">
        <f>SUM(P87:P89)</f>
        <v>0</v>
      </c>
      <c r="Q90" s="26"/>
    </row>
    <row r="91" spans="1:17" ht="13.5" thickBot="1">
      <c r="A91" s="35"/>
      <c r="B91" s="36"/>
      <c r="C91" s="69"/>
      <c r="D91" s="71" t="s">
        <v>37</v>
      </c>
      <c r="E91" s="67">
        <f aca="true" t="shared" si="24" ref="E91:O91">E78+E82+E86+E90</f>
        <v>0</v>
      </c>
      <c r="F91" s="67">
        <f t="shared" si="24"/>
        <v>0</v>
      </c>
      <c r="G91" s="67">
        <f t="shared" si="24"/>
        <v>0</v>
      </c>
      <c r="H91" s="67">
        <f t="shared" si="24"/>
        <v>0</v>
      </c>
      <c r="I91" s="67">
        <f t="shared" si="24"/>
        <v>0</v>
      </c>
      <c r="J91" s="67">
        <f t="shared" si="24"/>
        <v>0</v>
      </c>
      <c r="K91" s="67">
        <f t="shared" si="24"/>
        <v>0</v>
      </c>
      <c r="L91" s="67">
        <f t="shared" si="24"/>
        <v>0</v>
      </c>
      <c r="M91" s="67">
        <f t="shared" si="24"/>
        <v>0</v>
      </c>
      <c r="N91" s="67">
        <f t="shared" si="24"/>
        <v>0</v>
      </c>
      <c r="O91" s="67">
        <f t="shared" si="24"/>
        <v>0</v>
      </c>
      <c r="P91" s="68">
        <f>P78+P82+P86+P90</f>
        <v>0</v>
      </c>
      <c r="Q91" s="26"/>
    </row>
    <row r="92" spans="1:17" ht="12.75">
      <c r="A92" s="10">
        <v>6</v>
      </c>
      <c r="B92" s="14" t="s">
        <v>50</v>
      </c>
      <c r="C92" s="47" t="s">
        <v>49</v>
      </c>
      <c r="D92" s="15" t="s">
        <v>8</v>
      </c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7">
        <f>SUM(E92:O92)</f>
        <v>0</v>
      </c>
      <c r="Q92" s="26"/>
    </row>
    <row r="93" spans="1:17" ht="12.75">
      <c r="A93" s="10"/>
      <c r="B93" s="14"/>
      <c r="C93" s="48"/>
      <c r="D93" s="1" t="s">
        <v>9</v>
      </c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3">
        <f>SUM(E93:O93)</f>
        <v>0</v>
      </c>
      <c r="Q93" s="26"/>
    </row>
    <row r="94" spans="1:17" ht="12.75">
      <c r="A94" s="10"/>
      <c r="B94" s="14"/>
      <c r="C94" s="48"/>
      <c r="D94" s="1" t="s">
        <v>10</v>
      </c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>
        <v>0</v>
      </c>
      <c r="P94" s="23">
        <f>SUM(E94:O94)</f>
        <v>0</v>
      </c>
      <c r="Q94" s="26"/>
    </row>
    <row r="95" spans="1:17" ht="12.75">
      <c r="A95" s="10"/>
      <c r="B95" s="14"/>
      <c r="C95" s="48"/>
      <c r="D95" s="1" t="s">
        <v>17</v>
      </c>
      <c r="E95" s="22">
        <f aca="true" t="shared" si="25" ref="E95:O95">SUM(E92:E94)</f>
        <v>0</v>
      </c>
      <c r="F95" s="22">
        <f t="shared" si="25"/>
        <v>0</v>
      </c>
      <c r="G95" s="22">
        <f t="shared" si="25"/>
        <v>0</v>
      </c>
      <c r="H95" s="22">
        <f t="shared" si="25"/>
        <v>0</v>
      </c>
      <c r="I95" s="22">
        <f t="shared" si="25"/>
        <v>0</v>
      </c>
      <c r="J95" s="22">
        <f t="shared" si="25"/>
        <v>0</v>
      </c>
      <c r="K95" s="22">
        <f t="shared" si="25"/>
        <v>0</v>
      </c>
      <c r="L95" s="22">
        <f t="shared" si="25"/>
        <v>0</v>
      </c>
      <c r="M95" s="22">
        <f t="shared" si="25"/>
        <v>0</v>
      </c>
      <c r="N95" s="22">
        <f t="shared" si="25"/>
        <v>0</v>
      </c>
      <c r="O95" s="22">
        <f t="shared" si="25"/>
        <v>0</v>
      </c>
      <c r="P95" s="23">
        <f>SUM(P92:P94)</f>
        <v>0</v>
      </c>
      <c r="Q95" s="26"/>
    </row>
    <row r="96" spans="1:17" ht="12.75">
      <c r="A96" s="10"/>
      <c r="B96" s="14"/>
      <c r="C96" s="48"/>
      <c r="D96" s="1" t="s">
        <v>11</v>
      </c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3">
        <f>SUM(E96:O96)</f>
        <v>0</v>
      </c>
      <c r="Q96" s="26"/>
    </row>
    <row r="97" spans="1:17" ht="12.75">
      <c r="A97" s="10"/>
      <c r="B97" s="14"/>
      <c r="C97" s="48"/>
      <c r="D97" s="1" t="s">
        <v>12</v>
      </c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3">
        <f>SUM(E97:O97)</f>
        <v>0</v>
      </c>
      <c r="Q97" s="26"/>
    </row>
    <row r="98" spans="1:17" ht="12.75">
      <c r="A98" s="10"/>
      <c r="B98" s="14"/>
      <c r="C98" s="48"/>
      <c r="D98" s="1" t="s">
        <v>13</v>
      </c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3">
        <f>SUM(E98:O98)</f>
        <v>0</v>
      </c>
      <c r="Q98" s="26"/>
    </row>
    <row r="99" spans="1:17" ht="12.75">
      <c r="A99" s="10"/>
      <c r="B99" s="14"/>
      <c r="C99" s="48"/>
      <c r="D99" s="1" t="s">
        <v>18</v>
      </c>
      <c r="E99" s="22">
        <f aca="true" t="shared" si="26" ref="E99:O99">SUM(E96:E98)</f>
        <v>0</v>
      </c>
      <c r="F99" s="22">
        <f t="shared" si="26"/>
        <v>0</v>
      </c>
      <c r="G99" s="22">
        <f t="shared" si="26"/>
        <v>0</v>
      </c>
      <c r="H99" s="22">
        <f t="shared" si="26"/>
        <v>0</v>
      </c>
      <c r="I99" s="22">
        <f t="shared" si="26"/>
        <v>0</v>
      </c>
      <c r="J99" s="22">
        <f t="shared" si="26"/>
        <v>0</v>
      </c>
      <c r="K99" s="22">
        <f t="shared" si="26"/>
        <v>0</v>
      </c>
      <c r="L99" s="22">
        <f t="shared" si="26"/>
        <v>0</v>
      </c>
      <c r="M99" s="22">
        <f t="shared" si="26"/>
        <v>0</v>
      </c>
      <c r="N99" s="22">
        <f t="shared" si="26"/>
        <v>0</v>
      </c>
      <c r="O99" s="22">
        <f t="shared" si="26"/>
        <v>0</v>
      </c>
      <c r="P99" s="23">
        <f>SUM(P96:P98)</f>
        <v>0</v>
      </c>
      <c r="Q99" s="26"/>
    </row>
    <row r="100" spans="1:17" ht="12.75">
      <c r="A100" s="10"/>
      <c r="B100" s="14"/>
      <c r="C100" s="48"/>
      <c r="D100" s="1" t="s">
        <v>14</v>
      </c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3">
        <f>SUM(E100:O100)</f>
        <v>0</v>
      </c>
      <c r="Q100" s="26"/>
    </row>
    <row r="101" spans="1:17" ht="12.75">
      <c r="A101" s="10"/>
      <c r="B101" s="14"/>
      <c r="C101" s="48"/>
      <c r="D101" s="1" t="s">
        <v>15</v>
      </c>
      <c r="E101" s="20"/>
      <c r="F101" s="20"/>
      <c r="G101" s="20">
        <f>300+200-500</f>
        <v>0</v>
      </c>
      <c r="H101" s="20"/>
      <c r="I101" s="20"/>
      <c r="J101" s="20"/>
      <c r="K101" s="20"/>
      <c r="L101" s="20"/>
      <c r="M101" s="20"/>
      <c r="N101" s="20"/>
      <c r="O101" s="20"/>
      <c r="P101" s="23">
        <f>SUM(E101:O101)</f>
        <v>0</v>
      </c>
      <c r="Q101" s="26"/>
    </row>
    <row r="102" spans="1:17" ht="12.75">
      <c r="A102" s="10"/>
      <c r="B102" s="14"/>
      <c r="C102" s="48"/>
      <c r="D102" s="1" t="s">
        <v>16</v>
      </c>
      <c r="E102" s="20"/>
      <c r="F102" s="20"/>
      <c r="G102" s="20">
        <f>500-135-365</f>
        <v>0</v>
      </c>
      <c r="H102" s="20"/>
      <c r="I102" s="20"/>
      <c r="J102" s="20"/>
      <c r="K102" s="20"/>
      <c r="L102" s="20"/>
      <c r="M102" s="20"/>
      <c r="N102" s="20"/>
      <c r="O102" s="20"/>
      <c r="P102" s="23">
        <f>SUM(E102:O102)</f>
        <v>0</v>
      </c>
      <c r="Q102" s="26"/>
    </row>
    <row r="103" spans="1:17" ht="12.75">
      <c r="A103" s="10"/>
      <c r="B103" s="14"/>
      <c r="C103" s="48"/>
      <c r="D103" s="1" t="s">
        <v>19</v>
      </c>
      <c r="E103" s="22">
        <f aca="true" t="shared" si="27" ref="E103:O103">SUM(E100:E102)</f>
        <v>0</v>
      </c>
      <c r="F103" s="22">
        <f t="shared" si="27"/>
        <v>0</v>
      </c>
      <c r="G103" s="22">
        <f t="shared" si="27"/>
        <v>0</v>
      </c>
      <c r="H103" s="22">
        <f t="shared" si="27"/>
        <v>0</v>
      </c>
      <c r="I103" s="22">
        <f t="shared" si="27"/>
        <v>0</v>
      </c>
      <c r="J103" s="22">
        <f t="shared" si="27"/>
        <v>0</v>
      </c>
      <c r="K103" s="22">
        <f t="shared" si="27"/>
        <v>0</v>
      </c>
      <c r="L103" s="22">
        <f t="shared" si="27"/>
        <v>0</v>
      </c>
      <c r="M103" s="22">
        <f t="shared" si="27"/>
        <v>0</v>
      </c>
      <c r="N103" s="22">
        <f t="shared" si="27"/>
        <v>0</v>
      </c>
      <c r="O103" s="22">
        <f t="shared" si="27"/>
        <v>0</v>
      </c>
      <c r="P103" s="23">
        <f>SUM(P100:P102)</f>
        <v>0</v>
      </c>
      <c r="Q103" s="26"/>
    </row>
    <row r="104" spans="1:17" ht="12.75">
      <c r="A104" s="10"/>
      <c r="B104" s="14"/>
      <c r="C104" s="48"/>
      <c r="D104" s="1" t="s">
        <v>5</v>
      </c>
      <c r="E104" s="20"/>
      <c r="F104" s="20"/>
      <c r="G104" s="20">
        <f>365-365</f>
        <v>0</v>
      </c>
      <c r="H104" s="20"/>
      <c r="I104" s="20"/>
      <c r="J104" s="20"/>
      <c r="K104" s="20"/>
      <c r="L104" s="20"/>
      <c r="M104" s="20"/>
      <c r="N104" s="20"/>
      <c r="O104" s="20"/>
      <c r="P104" s="23">
        <f>SUM(E104:O104)</f>
        <v>0</v>
      </c>
      <c r="Q104" s="26"/>
    </row>
    <row r="105" spans="1:17" ht="12.75">
      <c r="A105" s="10"/>
      <c r="B105" s="14"/>
      <c r="C105" s="48"/>
      <c r="D105" s="1" t="s">
        <v>6</v>
      </c>
      <c r="E105" s="20"/>
      <c r="F105" s="20"/>
      <c r="G105" s="20">
        <v>0</v>
      </c>
      <c r="H105" s="20"/>
      <c r="I105" s="20"/>
      <c r="J105" s="20"/>
      <c r="K105" s="20"/>
      <c r="L105" s="20"/>
      <c r="M105" s="20"/>
      <c r="N105" s="20"/>
      <c r="O105" s="20"/>
      <c r="P105" s="23">
        <f>SUM(E105:O105)</f>
        <v>0</v>
      </c>
      <c r="Q105" s="26"/>
    </row>
    <row r="106" spans="1:17" ht="12.75">
      <c r="A106" s="10"/>
      <c r="B106" s="14"/>
      <c r="C106" s="48"/>
      <c r="D106" s="1" t="s">
        <v>7</v>
      </c>
      <c r="E106" s="20"/>
      <c r="F106" s="20"/>
      <c r="G106" s="20">
        <f>365-365</f>
        <v>0</v>
      </c>
      <c r="H106" s="20"/>
      <c r="I106" s="20"/>
      <c r="J106" s="20"/>
      <c r="K106" s="20"/>
      <c r="L106" s="20"/>
      <c r="M106" s="20"/>
      <c r="N106" s="20"/>
      <c r="O106" s="20"/>
      <c r="P106" s="23">
        <f>SUM(E106:O106)</f>
        <v>0</v>
      </c>
      <c r="Q106" s="26"/>
    </row>
    <row r="107" spans="1:17" ht="13.5" thickBot="1">
      <c r="A107" s="10"/>
      <c r="B107" s="14"/>
      <c r="C107" s="48"/>
      <c r="D107" s="1" t="s">
        <v>20</v>
      </c>
      <c r="E107" s="37">
        <f aca="true" t="shared" si="28" ref="E107:O107">SUM(E104:E106)</f>
        <v>0</v>
      </c>
      <c r="F107" s="37">
        <f t="shared" si="28"/>
        <v>0</v>
      </c>
      <c r="G107" s="37">
        <f t="shared" si="28"/>
        <v>0</v>
      </c>
      <c r="H107" s="37">
        <f t="shared" si="28"/>
        <v>0</v>
      </c>
      <c r="I107" s="37">
        <f t="shared" si="28"/>
        <v>0</v>
      </c>
      <c r="J107" s="37">
        <f t="shared" si="28"/>
        <v>0</v>
      </c>
      <c r="K107" s="37">
        <f t="shared" si="28"/>
        <v>0</v>
      </c>
      <c r="L107" s="37">
        <f t="shared" si="28"/>
        <v>0</v>
      </c>
      <c r="M107" s="37">
        <f t="shared" si="28"/>
        <v>0</v>
      </c>
      <c r="N107" s="37">
        <f t="shared" si="28"/>
        <v>0</v>
      </c>
      <c r="O107" s="37">
        <f t="shared" si="28"/>
        <v>0</v>
      </c>
      <c r="P107" s="38">
        <f>SUM(P104:P106)</f>
        <v>0</v>
      </c>
      <c r="Q107" s="26"/>
    </row>
    <row r="108" spans="1:17" ht="13.5" thickBot="1">
      <c r="A108" s="35"/>
      <c r="B108" s="36"/>
      <c r="C108" s="51"/>
      <c r="D108" s="65" t="s">
        <v>37</v>
      </c>
      <c r="E108" s="66">
        <f aca="true" t="shared" si="29" ref="E108:O108">E95+E99+E103+E107</f>
        <v>0</v>
      </c>
      <c r="F108" s="67">
        <f t="shared" si="29"/>
        <v>0</v>
      </c>
      <c r="G108" s="67">
        <f t="shared" si="29"/>
        <v>0</v>
      </c>
      <c r="H108" s="67">
        <f t="shared" si="29"/>
        <v>0</v>
      </c>
      <c r="I108" s="67">
        <f t="shared" si="29"/>
        <v>0</v>
      </c>
      <c r="J108" s="67">
        <f t="shared" si="29"/>
        <v>0</v>
      </c>
      <c r="K108" s="67">
        <f t="shared" si="29"/>
        <v>0</v>
      </c>
      <c r="L108" s="67">
        <f t="shared" si="29"/>
        <v>0</v>
      </c>
      <c r="M108" s="67">
        <f t="shared" si="29"/>
        <v>0</v>
      </c>
      <c r="N108" s="67">
        <f t="shared" si="29"/>
        <v>0</v>
      </c>
      <c r="O108" s="67">
        <f t="shared" si="29"/>
        <v>0</v>
      </c>
      <c r="P108" s="68">
        <f>P95+P99+P103+P107</f>
        <v>0</v>
      </c>
      <c r="Q108" s="26"/>
    </row>
    <row r="109" spans="1:17" ht="12.75">
      <c r="A109" s="6">
        <v>7</v>
      </c>
      <c r="B109" s="39"/>
      <c r="C109" s="44" t="s">
        <v>4</v>
      </c>
      <c r="D109" s="15" t="s">
        <v>5</v>
      </c>
      <c r="E109" s="24">
        <f>E7+E24+E41+E58+E75+E92</f>
        <v>58497.32</v>
      </c>
      <c r="F109" s="24">
        <f aca="true" t="shared" si="30" ref="F109:O109">F7+F24+F41+F58+F75+F92</f>
        <v>0</v>
      </c>
      <c r="G109" s="24">
        <f t="shared" si="30"/>
        <v>0</v>
      </c>
      <c r="H109" s="24">
        <f t="shared" si="30"/>
        <v>0</v>
      </c>
      <c r="I109" s="24">
        <f t="shared" si="30"/>
        <v>11486.26</v>
      </c>
      <c r="J109" s="24">
        <f t="shared" si="30"/>
        <v>0</v>
      </c>
      <c r="K109" s="24">
        <f t="shared" si="30"/>
        <v>0</v>
      </c>
      <c r="L109" s="24">
        <f t="shared" si="30"/>
        <v>0</v>
      </c>
      <c r="M109" s="24">
        <f t="shared" si="30"/>
        <v>0</v>
      </c>
      <c r="N109" s="24">
        <f t="shared" si="30"/>
        <v>0</v>
      </c>
      <c r="O109" s="24">
        <f t="shared" si="30"/>
        <v>53481.94</v>
      </c>
      <c r="P109" s="25">
        <f>SUM(E109:O109)</f>
        <v>123465.52</v>
      </c>
      <c r="Q109" s="26"/>
    </row>
    <row r="110" spans="1:17" ht="12.75">
      <c r="A110" s="7"/>
      <c r="B110" s="14"/>
      <c r="C110" s="45"/>
      <c r="D110" s="1" t="s">
        <v>6</v>
      </c>
      <c r="E110" s="18">
        <f aca="true" t="shared" si="31" ref="E110:O111">E8+E25+E42+E59+E76+E93</f>
        <v>280655.68</v>
      </c>
      <c r="F110" s="18">
        <f t="shared" si="31"/>
        <v>5440.08</v>
      </c>
      <c r="G110" s="18">
        <f t="shared" si="31"/>
        <v>0</v>
      </c>
      <c r="H110" s="18">
        <f t="shared" si="31"/>
        <v>0</v>
      </c>
      <c r="I110" s="18">
        <f t="shared" si="31"/>
        <v>0</v>
      </c>
      <c r="J110" s="18">
        <f t="shared" si="31"/>
        <v>0</v>
      </c>
      <c r="K110" s="18">
        <f t="shared" si="31"/>
        <v>0</v>
      </c>
      <c r="L110" s="18">
        <f t="shared" si="31"/>
        <v>0</v>
      </c>
      <c r="M110" s="18">
        <f t="shared" si="31"/>
        <v>0</v>
      </c>
      <c r="N110" s="18">
        <f t="shared" si="31"/>
        <v>5132.72</v>
      </c>
      <c r="O110" s="18">
        <f t="shared" si="31"/>
        <v>147160.9</v>
      </c>
      <c r="P110" s="21">
        <f>SUM(E110:O110)</f>
        <v>438389.38</v>
      </c>
      <c r="Q110" s="26"/>
    </row>
    <row r="111" spans="1:17" ht="12.75">
      <c r="A111" s="7"/>
      <c r="B111" s="14"/>
      <c r="C111" s="45"/>
      <c r="D111" s="1" t="s">
        <v>7</v>
      </c>
      <c r="E111" s="18">
        <f t="shared" si="31"/>
        <v>463898.58999999997</v>
      </c>
      <c r="F111" s="18">
        <f t="shared" si="31"/>
        <v>0</v>
      </c>
      <c r="G111" s="18">
        <f t="shared" si="31"/>
        <v>1183.47</v>
      </c>
      <c r="H111" s="18">
        <f t="shared" si="31"/>
        <v>2999.51</v>
      </c>
      <c r="I111" s="18">
        <f t="shared" si="31"/>
        <v>0</v>
      </c>
      <c r="J111" s="18">
        <f t="shared" si="31"/>
        <v>32350</v>
      </c>
      <c r="K111" s="18">
        <f t="shared" si="31"/>
        <v>0</v>
      </c>
      <c r="L111" s="18">
        <f t="shared" si="31"/>
        <v>0</v>
      </c>
      <c r="M111" s="18">
        <f t="shared" si="31"/>
        <v>0</v>
      </c>
      <c r="N111" s="18">
        <f t="shared" si="31"/>
        <v>0</v>
      </c>
      <c r="O111" s="42">
        <f>O26+O43+O60+O77+O94+O9</f>
        <v>44407.69</v>
      </c>
      <c r="P111" s="21">
        <f>SUM(E111:O111)</f>
        <v>544839.26</v>
      </c>
      <c r="Q111" s="26"/>
    </row>
    <row r="112" spans="1:17" ht="12.75">
      <c r="A112" s="7"/>
      <c r="B112" s="14"/>
      <c r="C112" s="45"/>
      <c r="D112" s="1" t="s">
        <v>17</v>
      </c>
      <c r="E112" s="22">
        <f aca="true" t="shared" si="32" ref="E112:P112">SUM(E109:E111)</f>
        <v>803051.59</v>
      </c>
      <c r="F112" s="22">
        <f t="shared" si="32"/>
        <v>5440.08</v>
      </c>
      <c r="G112" s="22">
        <f t="shared" si="32"/>
        <v>1183.47</v>
      </c>
      <c r="H112" s="22">
        <f t="shared" si="32"/>
        <v>2999.51</v>
      </c>
      <c r="I112" s="22">
        <f t="shared" si="32"/>
        <v>11486.26</v>
      </c>
      <c r="J112" s="22">
        <f t="shared" si="32"/>
        <v>32350</v>
      </c>
      <c r="K112" s="22">
        <f t="shared" si="32"/>
        <v>0</v>
      </c>
      <c r="L112" s="22">
        <f t="shared" si="32"/>
        <v>0</v>
      </c>
      <c r="M112" s="22">
        <f t="shared" si="32"/>
        <v>0</v>
      </c>
      <c r="N112" s="22">
        <f>SUM(N109:N111)</f>
        <v>5132.72</v>
      </c>
      <c r="O112" s="22">
        <f>SUM(O109:O111)</f>
        <v>245050.53</v>
      </c>
      <c r="P112" s="23">
        <f t="shared" si="32"/>
        <v>1106694.1600000001</v>
      </c>
      <c r="Q112" s="26"/>
    </row>
    <row r="113" spans="1:17" ht="12.75">
      <c r="A113" s="7"/>
      <c r="B113" s="14"/>
      <c r="C113" s="45"/>
      <c r="D113" s="1" t="s">
        <v>8</v>
      </c>
      <c r="E113" s="20">
        <f aca="true" t="shared" si="33" ref="E113:O115">E11+E28+E45+E62+E79+E96</f>
        <v>927396.6000000001</v>
      </c>
      <c r="F113" s="20">
        <f t="shared" si="33"/>
        <v>131911.14</v>
      </c>
      <c r="G113" s="20">
        <f t="shared" si="33"/>
        <v>485.85</v>
      </c>
      <c r="H113" s="20">
        <f t="shared" si="33"/>
        <v>0</v>
      </c>
      <c r="I113" s="20">
        <f t="shared" si="33"/>
        <v>5887.08</v>
      </c>
      <c r="J113" s="20">
        <f t="shared" si="33"/>
        <v>0</v>
      </c>
      <c r="K113" s="20">
        <f t="shared" si="33"/>
        <v>0</v>
      </c>
      <c r="L113" s="20">
        <f t="shared" si="33"/>
        <v>0</v>
      </c>
      <c r="M113" s="20">
        <f t="shared" si="33"/>
        <v>488.28</v>
      </c>
      <c r="N113" s="20">
        <f t="shared" si="33"/>
        <v>9438.14</v>
      </c>
      <c r="O113" s="20">
        <f t="shared" si="33"/>
        <v>204460.02</v>
      </c>
      <c r="P113" s="21">
        <f>SUM(E113:O113)</f>
        <v>1280067.1100000003</v>
      </c>
      <c r="Q113" s="26"/>
    </row>
    <row r="114" spans="1:17" ht="12.75">
      <c r="A114" s="7"/>
      <c r="B114" s="14"/>
      <c r="C114" s="45"/>
      <c r="D114" s="1" t="s">
        <v>9</v>
      </c>
      <c r="E114" s="20">
        <f t="shared" si="33"/>
        <v>383887.19</v>
      </c>
      <c r="F114" s="20">
        <f t="shared" si="33"/>
        <v>50320.77</v>
      </c>
      <c r="G114" s="20">
        <f t="shared" si="33"/>
        <v>0</v>
      </c>
      <c r="H114" s="20">
        <f t="shared" si="33"/>
        <v>7500.49</v>
      </c>
      <c r="I114" s="20">
        <f t="shared" si="33"/>
        <v>0</v>
      </c>
      <c r="J114" s="20">
        <f t="shared" si="33"/>
        <v>7938.23</v>
      </c>
      <c r="K114" s="20">
        <f t="shared" si="33"/>
        <v>0</v>
      </c>
      <c r="L114" s="20">
        <f t="shared" si="33"/>
        <v>0</v>
      </c>
      <c r="M114" s="20">
        <f t="shared" si="33"/>
        <v>0</v>
      </c>
      <c r="N114" s="20">
        <f t="shared" si="33"/>
        <v>9438.14</v>
      </c>
      <c r="O114" s="20">
        <f t="shared" si="33"/>
        <v>77586.2</v>
      </c>
      <c r="P114" s="21">
        <f>SUM(E114:O114)</f>
        <v>536671.02</v>
      </c>
      <c r="Q114" s="26"/>
    </row>
    <row r="115" spans="1:17" ht="12.75">
      <c r="A115" s="7"/>
      <c r="B115" s="14"/>
      <c r="C115" s="45"/>
      <c r="D115" s="1" t="s">
        <v>10</v>
      </c>
      <c r="E115" s="20">
        <f t="shared" si="33"/>
        <v>1093440.09</v>
      </c>
      <c r="F115" s="20">
        <f t="shared" si="33"/>
        <v>340832.48000000004</v>
      </c>
      <c r="G115" s="20">
        <f t="shared" si="33"/>
        <v>0</v>
      </c>
      <c r="H115" s="20">
        <f t="shared" si="33"/>
        <v>0</v>
      </c>
      <c r="I115" s="20">
        <f t="shared" si="33"/>
        <v>-113.34</v>
      </c>
      <c r="J115" s="20">
        <f t="shared" si="33"/>
        <v>61.77</v>
      </c>
      <c r="K115" s="20">
        <f t="shared" si="33"/>
        <v>0</v>
      </c>
      <c r="L115" s="20">
        <f t="shared" si="33"/>
        <v>0</v>
      </c>
      <c r="M115" s="20">
        <f t="shared" si="33"/>
        <v>551.72</v>
      </c>
      <c r="N115" s="20">
        <f t="shared" si="33"/>
        <v>9438.14</v>
      </c>
      <c r="O115" s="20">
        <f t="shared" si="33"/>
        <v>210173.25</v>
      </c>
      <c r="P115" s="21">
        <f>SUM(E115:O115)</f>
        <v>1654384.1099999999</v>
      </c>
      <c r="Q115" s="26"/>
    </row>
    <row r="116" spans="1:17" ht="12.75">
      <c r="A116" s="7"/>
      <c r="B116" s="14"/>
      <c r="C116" s="45"/>
      <c r="D116" s="1" t="s">
        <v>18</v>
      </c>
      <c r="E116" s="22">
        <f aca="true" t="shared" si="34" ref="E116:P116">SUM(E113:E115)</f>
        <v>2404723.88</v>
      </c>
      <c r="F116" s="22">
        <f t="shared" si="34"/>
        <v>523064.39</v>
      </c>
      <c r="G116" s="22">
        <f t="shared" si="34"/>
        <v>485.85</v>
      </c>
      <c r="H116" s="22">
        <f t="shared" si="34"/>
        <v>7500.49</v>
      </c>
      <c r="I116" s="22">
        <f t="shared" si="34"/>
        <v>5773.74</v>
      </c>
      <c r="J116" s="22">
        <f t="shared" si="34"/>
        <v>8000</v>
      </c>
      <c r="K116" s="22">
        <f t="shared" si="34"/>
        <v>0</v>
      </c>
      <c r="L116" s="22">
        <f t="shared" si="34"/>
        <v>0</v>
      </c>
      <c r="M116" s="22">
        <f t="shared" si="34"/>
        <v>1040</v>
      </c>
      <c r="N116" s="22">
        <f t="shared" si="34"/>
        <v>28314.42</v>
      </c>
      <c r="O116" s="22">
        <f t="shared" si="34"/>
        <v>492219.47</v>
      </c>
      <c r="P116" s="23">
        <f t="shared" si="34"/>
        <v>3471122.24</v>
      </c>
      <c r="Q116" s="26"/>
    </row>
    <row r="117" spans="1:17" ht="12.75">
      <c r="A117" s="7"/>
      <c r="B117" s="14"/>
      <c r="C117" s="45"/>
      <c r="D117" s="1" t="s">
        <v>11</v>
      </c>
      <c r="E117" s="20">
        <f aca="true" t="shared" si="35" ref="E117:O119">E15+E32+E49+E66+E83+E100</f>
        <v>973444.5000000001</v>
      </c>
      <c r="F117" s="20">
        <f t="shared" si="35"/>
        <v>209663.12</v>
      </c>
      <c r="G117" s="20">
        <f t="shared" si="35"/>
        <v>0</v>
      </c>
      <c r="H117" s="20">
        <f t="shared" si="35"/>
        <v>0</v>
      </c>
      <c r="I117" s="20">
        <f t="shared" si="35"/>
        <v>113.34</v>
      </c>
      <c r="J117" s="20">
        <f t="shared" si="35"/>
        <v>0</v>
      </c>
      <c r="K117" s="20">
        <f t="shared" si="35"/>
        <v>0</v>
      </c>
      <c r="L117" s="20">
        <f t="shared" si="35"/>
        <v>729.0800000000017</v>
      </c>
      <c r="M117" s="20">
        <f t="shared" si="35"/>
        <v>0</v>
      </c>
      <c r="N117" s="20">
        <f t="shared" si="35"/>
        <v>9438.140000000001</v>
      </c>
      <c r="O117" s="20">
        <f t="shared" si="35"/>
        <v>101827.79999999999</v>
      </c>
      <c r="P117" s="21">
        <f>SUM(E117:O117)</f>
        <v>1295215.9800000002</v>
      </c>
      <c r="Q117" s="26"/>
    </row>
    <row r="118" spans="1:17" ht="12.75">
      <c r="A118" s="7"/>
      <c r="B118" s="14"/>
      <c r="C118" s="45"/>
      <c r="D118" s="1" t="s">
        <v>12</v>
      </c>
      <c r="E118" s="20">
        <f t="shared" si="35"/>
        <v>152095.01999999996</v>
      </c>
      <c r="F118" s="20">
        <f t="shared" si="35"/>
        <v>70707</v>
      </c>
      <c r="G118" s="20">
        <f t="shared" si="35"/>
        <v>0</v>
      </c>
      <c r="H118" s="20">
        <f t="shared" si="35"/>
        <v>0</v>
      </c>
      <c r="I118" s="20">
        <f t="shared" si="35"/>
        <v>0</v>
      </c>
      <c r="J118" s="20">
        <f t="shared" si="35"/>
        <v>0</v>
      </c>
      <c r="K118" s="20">
        <f t="shared" si="35"/>
        <v>0</v>
      </c>
      <c r="L118" s="20">
        <f t="shared" si="35"/>
        <v>1958.859999999997</v>
      </c>
      <c r="M118" s="20">
        <f t="shared" si="35"/>
        <v>0</v>
      </c>
      <c r="N118" s="20">
        <f t="shared" si="35"/>
        <v>9438.14</v>
      </c>
      <c r="O118" s="20">
        <f t="shared" si="35"/>
        <v>106730.62</v>
      </c>
      <c r="P118" s="21">
        <f>SUM(E118:O118)</f>
        <v>340929.63999999996</v>
      </c>
      <c r="Q118" s="26"/>
    </row>
    <row r="119" spans="1:17" ht="12.75">
      <c r="A119" s="7"/>
      <c r="B119" s="14"/>
      <c r="C119" s="45"/>
      <c r="D119" s="1" t="s">
        <v>13</v>
      </c>
      <c r="E119" s="20">
        <f t="shared" si="35"/>
        <v>1130394.74</v>
      </c>
      <c r="F119" s="20">
        <f t="shared" si="35"/>
        <v>91610.26</v>
      </c>
      <c r="G119" s="20">
        <f t="shared" si="35"/>
        <v>1886.61</v>
      </c>
      <c r="H119" s="20">
        <f t="shared" si="35"/>
        <v>894.96</v>
      </c>
      <c r="I119" s="20">
        <f t="shared" si="35"/>
        <v>6670.8</v>
      </c>
      <c r="J119" s="20">
        <f t="shared" si="35"/>
        <v>0</v>
      </c>
      <c r="K119" s="20">
        <f t="shared" si="35"/>
        <v>0</v>
      </c>
      <c r="L119" s="20">
        <f t="shared" si="35"/>
        <v>26523.83</v>
      </c>
      <c r="M119" s="20">
        <f t="shared" si="35"/>
        <v>0</v>
      </c>
      <c r="N119" s="20">
        <f t="shared" si="35"/>
        <v>0</v>
      </c>
      <c r="O119" s="20">
        <f t="shared" si="35"/>
        <v>271065.56</v>
      </c>
      <c r="P119" s="21">
        <f>SUM(E119:O119)</f>
        <v>1529046.7600000002</v>
      </c>
      <c r="Q119" s="26"/>
    </row>
    <row r="120" spans="1:17" ht="12.75">
      <c r="A120" s="7"/>
      <c r="B120" s="14"/>
      <c r="C120" s="45"/>
      <c r="D120" s="1" t="s">
        <v>19</v>
      </c>
      <c r="E120" s="22">
        <f aca="true" t="shared" si="36" ref="E120:P120">SUM(E117:E119)</f>
        <v>2255934.26</v>
      </c>
      <c r="F120" s="22">
        <f t="shared" si="36"/>
        <v>371980.38</v>
      </c>
      <c r="G120" s="22">
        <f t="shared" si="36"/>
        <v>1886.61</v>
      </c>
      <c r="H120" s="22">
        <f t="shared" si="36"/>
        <v>894.96</v>
      </c>
      <c r="I120" s="22">
        <f t="shared" si="36"/>
        <v>6784.14</v>
      </c>
      <c r="J120" s="22">
        <f t="shared" si="36"/>
        <v>0</v>
      </c>
      <c r="K120" s="22">
        <f t="shared" si="36"/>
        <v>0</v>
      </c>
      <c r="L120" s="22">
        <f t="shared" si="36"/>
        <v>29211.77</v>
      </c>
      <c r="M120" s="22">
        <f t="shared" si="36"/>
        <v>0</v>
      </c>
      <c r="N120" s="22">
        <f t="shared" si="36"/>
        <v>18876.28</v>
      </c>
      <c r="O120" s="22">
        <f t="shared" si="36"/>
        <v>479623.98</v>
      </c>
      <c r="P120" s="23">
        <f t="shared" si="36"/>
        <v>3165192.3800000004</v>
      </c>
      <c r="Q120" s="26"/>
    </row>
    <row r="121" spans="1:17" ht="12.75">
      <c r="A121" s="7"/>
      <c r="B121" s="14"/>
      <c r="C121" s="45"/>
      <c r="D121" s="1" t="s">
        <v>14</v>
      </c>
      <c r="E121" s="20">
        <f aca="true" t="shared" si="37" ref="E121:O123">E19+E36+E53+E70+E87+E104</f>
        <v>138298.90000000002</v>
      </c>
      <c r="F121" s="20">
        <f t="shared" si="37"/>
        <v>289279.32999999996</v>
      </c>
      <c r="G121" s="20">
        <f t="shared" si="37"/>
        <v>0</v>
      </c>
      <c r="H121" s="20">
        <f t="shared" si="37"/>
        <v>4974.200000000001</v>
      </c>
      <c r="I121" s="20">
        <f t="shared" si="37"/>
        <v>16493.23</v>
      </c>
      <c r="J121" s="20">
        <f t="shared" si="37"/>
        <v>0</v>
      </c>
      <c r="K121" s="20">
        <f t="shared" si="37"/>
        <v>0</v>
      </c>
      <c r="L121" s="20">
        <f t="shared" si="37"/>
        <v>0</v>
      </c>
      <c r="M121" s="20">
        <f t="shared" si="37"/>
        <v>0</v>
      </c>
      <c r="N121" s="20">
        <f t="shared" si="37"/>
        <v>6056.300000000001</v>
      </c>
      <c r="O121" s="20">
        <f t="shared" si="37"/>
        <v>63085.93000000001</v>
      </c>
      <c r="P121" s="21">
        <f>SUM(E121:O121)</f>
        <v>518187.88999999996</v>
      </c>
      <c r="Q121" s="26"/>
    </row>
    <row r="122" spans="1:17" ht="12.75">
      <c r="A122" s="7"/>
      <c r="B122" s="14"/>
      <c r="C122" s="45"/>
      <c r="D122" s="1" t="s">
        <v>15</v>
      </c>
      <c r="E122" s="20">
        <f t="shared" si="37"/>
        <v>652380.03</v>
      </c>
      <c r="F122" s="20">
        <f t="shared" si="37"/>
        <v>437634.33999999997</v>
      </c>
      <c r="G122" s="20">
        <f t="shared" si="37"/>
        <v>1903.8</v>
      </c>
      <c r="H122" s="20">
        <f t="shared" si="37"/>
        <v>21000.53</v>
      </c>
      <c r="I122" s="20">
        <f t="shared" si="37"/>
        <v>28413.030000000002</v>
      </c>
      <c r="J122" s="20">
        <f t="shared" si="37"/>
        <v>19791.87</v>
      </c>
      <c r="K122" s="20">
        <f t="shared" si="37"/>
        <v>0</v>
      </c>
      <c r="L122" s="20">
        <f t="shared" si="37"/>
        <v>1765.28</v>
      </c>
      <c r="M122" s="20">
        <f t="shared" si="37"/>
        <v>39.24</v>
      </c>
      <c r="N122" s="20">
        <f t="shared" si="37"/>
        <v>14764.279999999999</v>
      </c>
      <c r="O122" s="20">
        <f t="shared" si="37"/>
        <v>187916.65</v>
      </c>
      <c r="P122" s="21">
        <f>SUM(E122:O122)</f>
        <v>1365609.0500000003</v>
      </c>
      <c r="Q122" s="26"/>
    </row>
    <row r="123" spans="1:17" ht="12.75">
      <c r="A123" s="7"/>
      <c r="B123" s="14"/>
      <c r="C123" s="45"/>
      <c r="D123" s="1" t="s">
        <v>16</v>
      </c>
      <c r="E123" s="20">
        <f t="shared" si="37"/>
        <v>1128774.93</v>
      </c>
      <c r="F123" s="20">
        <f t="shared" si="37"/>
        <v>524139.48000000004</v>
      </c>
      <c r="G123" s="20">
        <f t="shared" si="37"/>
        <v>0</v>
      </c>
      <c r="H123" s="20">
        <f t="shared" si="37"/>
        <v>8000.31</v>
      </c>
      <c r="I123" s="20">
        <f t="shared" si="37"/>
        <v>519.6</v>
      </c>
      <c r="J123" s="20">
        <f t="shared" si="37"/>
        <v>708.13</v>
      </c>
      <c r="K123" s="20">
        <f t="shared" si="37"/>
        <v>10600</v>
      </c>
      <c r="L123" s="20">
        <f t="shared" si="37"/>
        <v>22.95</v>
      </c>
      <c r="M123" s="20">
        <f t="shared" si="37"/>
        <v>0.76</v>
      </c>
      <c r="N123" s="20">
        <f t="shared" si="37"/>
        <v>9576</v>
      </c>
      <c r="O123" s="20">
        <f t="shared" si="37"/>
        <v>50413.44</v>
      </c>
      <c r="P123" s="21">
        <f>SUM(E123:O123)</f>
        <v>1732755.5999999999</v>
      </c>
      <c r="Q123" s="26"/>
    </row>
    <row r="124" spans="1:17" ht="12.75">
      <c r="A124" s="7"/>
      <c r="B124" s="14"/>
      <c r="C124" s="45"/>
      <c r="D124" s="1" t="s">
        <v>20</v>
      </c>
      <c r="E124" s="22">
        <f aca="true" t="shared" si="38" ref="E124:P124">SUM(E121:E123)</f>
        <v>1919453.8599999999</v>
      </c>
      <c r="F124" s="22">
        <f t="shared" si="38"/>
        <v>1251053.15</v>
      </c>
      <c r="G124" s="22">
        <f t="shared" si="38"/>
        <v>1903.8</v>
      </c>
      <c r="H124" s="22">
        <f t="shared" si="38"/>
        <v>33975.04</v>
      </c>
      <c r="I124" s="22">
        <f t="shared" si="38"/>
        <v>45425.86</v>
      </c>
      <c r="J124" s="22">
        <f t="shared" si="38"/>
        <v>20500</v>
      </c>
      <c r="K124" s="22">
        <f t="shared" si="38"/>
        <v>10600</v>
      </c>
      <c r="L124" s="22">
        <f t="shared" si="38"/>
        <v>1788.23</v>
      </c>
      <c r="M124" s="22">
        <f t="shared" si="38"/>
        <v>40</v>
      </c>
      <c r="N124" s="22">
        <f t="shared" si="38"/>
        <v>30396.58</v>
      </c>
      <c r="O124" s="22">
        <f t="shared" si="38"/>
        <v>301416.02</v>
      </c>
      <c r="P124" s="23">
        <f t="shared" si="38"/>
        <v>3616552.54</v>
      </c>
      <c r="Q124" s="26"/>
    </row>
    <row r="125" spans="1:17" ht="13.5" thickBot="1">
      <c r="A125" s="40"/>
      <c r="B125" s="41"/>
      <c r="C125" s="46"/>
      <c r="D125" s="16" t="s">
        <v>37</v>
      </c>
      <c r="E125" s="28">
        <f aca="true" t="shared" si="39" ref="E125:P125">E74+E57+E40+E23+E91</f>
        <v>7383163.59</v>
      </c>
      <c r="F125" s="28">
        <f t="shared" si="39"/>
        <v>2151538</v>
      </c>
      <c r="G125" s="28">
        <f t="shared" si="39"/>
        <v>5459.7300000000005</v>
      </c>
      <c r="H125" s="28">
        <f t="shared" si="39"/>
        <v>45370</v>
      </c>
      <c r="I125" s="28">
        <f t="shared" si="39"/>
        <v>69470</v>
      </c>
      <c r="J125" s="28">
        <f t="shared" si="39"/>
        <v>60850</v>
      </c>
      <c r="K125" s="28">
        <f t="shared" si="39"/>
        <v>10600</v>
      </c>
      <c r="L125" s="28">
        <f t="shared" si="39"/>
        <v>31000</v>
      </c>
      <c r="M125" s="28">
        <f t="shared" si="39"/>
        <v>1080</v>
      </c>
      <c r="N125" s="28">
        <f t="shared" si="39"/>
        <v>82720</v>
      </c>
      <c r="O125" s="28">
        <f t="shared" si="39"/>
        <v>1518310</v>
      </c>
      <c r="P125" s="29">
        <f t="shared" si="39"/>
        <v>11359561.32</v>
      </c>
      <c r="Q125" s="26"/>
    </row>
    <row r="126" spans="1:17" ht="12.75">
      <c r="A126" s="11"/>
      <c r="B126" s="12"/>
      <c r="C126" s="13"/>
      <c r="D126" s="5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30"/>
      <c r="Q126" s="26"/>
    </row>
  </sheetData>
  <sheetProtection/>
  <mergeCells count="19">
    <mergeCell ref="C92:C108"/>
    <mergeCell ref="Q5:Q6"/>
    <mergeCell ref="P5:P6"/>
    <mergeCell ref="N5:N6"/>
    <mergeCell ref="O5:O6"/>
    <mergeCell ref="A5:A6"/>
    <mergeCell ref="B5:B6"/>
    <mergeCell ref="C5:C6"/>
    <mergeCell ref="D5:D6"/>
    <mergeCell ref="C109:C125"/>
    <mergeCell ref="C58:C74"/>
    <mergeCell ref="L5:M5"/>
    <mergeCell ref="C24:C40"/>
    <mergeCell ref="C41:C57"/>
    <mergeCell ref="C7:C23"/>
    <mergeCell ref="I5:K5"/>
    <mergeCell ref="G5:H5"/>
    <mergeCell ref="E5:F5"/>
    <mergeCell ref="C75:C91"/>
  </mergeCells>
  <printOptions/>
  <pageMargins left="0.22" right="0.2" top="0.29" bottom="0.22" header="0.21" footer="0.17"/>
  <pageSetup orientation="landscape" paperSize="9" scale="71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angelap</dc:creator>
  <cp:keywords/>
  <dc:description/>
  <cp:lastModifiedBy>corinab</cp:lastModifiedBy>
  <cp:lastPrinted>2019-01-14T12:28:45Z</cp:lastPrinted>
  <dcterms:created xsi:type="dcterms:W3CDTF">2015-04-15T11:17:13Z</dcterms:created>
  <dcterms:modified xsi:type="dcterms:W3CDTF">2019-01-14T12:29:32Z</dcterms:modified>
  <cp:category/>
  <cp:version/>
  <cp:contentType/>
  <cp:contentStatus/>
</cp:coreProperties>
</file>